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360" windowWidth="11070" windowHeight="7200"/>
  </bookViews>
  <sheets>
    <sheet name="Greenhouse 1" sheetId="1" r:id="rId1"/>
  </sheets>
  <definedNames>
    <definedName name="CycleTime">'Greenhouse 1'!$F$7</definedName>
    <definedName name="HolesperRaft">'Greenhouse 1'!$D$7</definedName>
    <definedName name="_xlnm.Print_Area" localSheetId="0">'Greenhouse 1'!$A$1:$O$103</definedName>
    <definedName name="ProdPerHole">'Greenhouse 1'!$E$7</definedName>
    <definedName name="RaftAreaSf" comment="Raft Area of the System">'Greenhouse 1'!$C$7</definedName>
    <definedName name="WeeksofProd">'Greenhouse 1'!$A$7</definedName>
  </definedNames>
  <calcPr calcId="124519"/>
</workbook>
</file>

<file path=xl/calcChain.xml><?xml version="1.0" encoding="utf-8"?>
<calcChain xmlns="http://schemas.openxmlformats.org/spreadsheetml/2006/main">
  <c r="L106" i="1"/>
  <c r="K106"/>
  <c r="J106"/>
  <c r="I106"/>
  <c r="H106"/>
  <c r="G106"/>
  <c r="F106"/>
  <c r="L104"/>
  <c r="K104"/>
  <c r="J104"/>
  <c r="I104"/>
  <c r="H104"/>
  <c r="G104"/>
  <c r="F104"/>
  <c r="F54"/>
  <c r="F50"/>
  <c r="F49"/>
  <c r="G50" l="1"/>
  <c r="H50" s="1"/>
  <c r="I50" s="1"/>
  <c r="J50" s="1"/>
  <c r="K50" s="1"/>
  <c r="L50" s="1"/>
  <c r="M50" s="1"/>
  <c r="N50" s="1"/>
  <c r="O50" s="1"/>
  <c r="E30"/>
  <c r="E25"/>
  <c r="G19" l="1"/>
  <c r="H19" s="1"/>
  <c r="I19" s="1"/>
  <c r="J19" s="1"/>
  <c r="K19" s="1"/>
  <c r="L19" s="1"/>
  <c r="M19" s="1"/>
  <c r="N19" s="1"/>
  <c r="O19" s="1"/>
  <c r="E18"/>
  <c r="B10"/>
  <c r="A10"/>
  <c r="F12" s="1"/>
  <c r="F11"/>
  <c r="D3"/>
  <c r="E23"/>
  <c r="F14" l="1"/>
  <c r="F73" s="1"/>
  <c r="B20"/>
  <c r="C20" s="1"/>
  <c r="G12"/>
  <c r="H12" l="1"/>
  <c r="B42"/>
  <c r="B32"/>
  <c r="I12" l="1"/>
  <c r="G105"/>
  <c r="H105"/>
  <c r="I105"/>
  <c r="J105"/>
  <c r="K105"/>
  <c r="L105"/>
  <c r="F105"/>
  <c r="F98" s="1"/>
  <c r="J12" l="1"/>
  <c r="G76"/>
  <c r="H76"/>
  <c r="I76"/>
  <c r="J76"/>
  <c r="K76"/>
  <c r="L76"/>
  <c r="F76"/>
  <c r="B56"/>
  <c r="F10"/>
  <c r="F13" s="1"/>
  <c r="F77" s="1"/>
  <c r="G102"/>
  <c r="H102" s="1"/>
  <c r="I102" s="1"/>
  <c r="J102" s="1"/>
  <c r="K102" s="1"/>
  <c r="L102" s="1"/>
  <c r="M102" s="1"/>
  <c r="N102" s="1"/>
  <c r="O102" s="1"/>
  <c r="G97"/>
  <c r="H97" s="1"/>
  <c r="I97" s="1"/>
  <c r="J97" s="1"/>
  <c r="K97" s="1"/>
  <c r="L97" s="1"/>
  <c r="M97" s="1"/>
  <c r="N97" s="1"/>
  <c r="O97" s="1"/>
  <c r="K12" l="1"/>
  <c r="E41"/>
  <c r="L12" l="1"/>
  <c r="G72"/>
  <c r="H72" s="1"/>
  <c r="I72" s="1"/>
  <c r="J72" s="1"/>
  <c r="K72" s="1"/>
  <c r="L72" s="1"/>
  <c r="M72" s="1"/>
  <c r="N72" s="1"/>
  <c r="O72" s="1"/>
  <c r="G54"/>
  <c r="H54" s="1"/>
  <c r="I54" s="1"/>
  <c r="J54" s="1"/>
  <c r="K54" s="1"/>
  <c r="L54" s="1"/>
  <c r="M54" s="1"/>
  <c r="N54" s="1"/>
  <c r="O54" s="1"/>
  <c r="G55"/>
  <c r="H55" s="1"/>
  <c r="I55" s="1"/>
  <c r="J55" s="1"/>
  <c r="K55" s="1"/>
  <c r="L55" s="1"/>
  <c r="M55" s="1"/>
  <c r="N55" s="1"/>
  <c r="O55" s="1"/>
  <c r="G56"/>
  <c r="H56" s="1"/>
  <c r="I56" s="1"/>
  <c r="J56" s="1"/>
  <c r="K56" s="1"/>
  <c r="L56" s="1"/>
  <c r="M56" s="1"/>
  <c r="N56" s="1"/>
  <c r="O56" s="1"/>
  <c r="G57"/>
  <c r="H57" s="1"/>
  <c r="I57" s="1"/>
  <c r="J57" s="1"/>
  <c r="K57" s="1"/>
  <c r="L57" s="1"/>
  <c r="M57" s="1"/>
  <c r="N57" s="1"/>
  <c r="O57" s="1"/>
  <c r="G58"/>
  <c r="H58" s="1"/>
  <c r="I58" s="1"/>
  <c r="J58" s="1"/>
  <c r="K58" s="1"/>
  <c r="L58" s="1"/>
  <c r="M58" s="1"/>
  <c r="N58" s="1"/>
  <c r="O58" s="1"/>
  <c r="G59"/>
  <c r="H59" s="1"/>
  <c r="I59" s="1"/>
  <c r="J59" s="1"/>
  <c r="K59" s="1"/>
  <c r="L59" s="1"/>
  <c r="M59" s="1"/>
  <c r="N59" s="1"/>
  <c r="O59" s="1"/>
  <c r="G60"/>
  <c r="H60" s="1"/>
  <c r="I60" s="1"/>
  <c r="J60" s="1"/>
  <c r="K60" s="1"/>
  <c r="L60" s="1"/>
  <c r="M60" s="1"/>
  <c r="N60" s="1"/>
  <c r="O60" s="1"/>
  <c r="G61"/>
  <c r="H61" s="1"/>
  <c r="I61" s="1"/>
  <c r="J61" s="1"/>
  <c r="K61" s="1"/>
  <c r="L61" s="1"/>
  <c r="M61" s="1"/>
  <c r="N61" s="1"/>
  <c r="O61" s="1"/>
  <c r="G62"/>
  <c r="H62" s="1"/>
  <c r="I62" s="1"/>
  <c r="J62" s="1"/>
  <c r="K62" s="1"/>
  <c r="L62" s="1"/>
  <c r="M62" s="1"/>
  <c r="N62" s="1"/>
  <c r="O62" s="1"/>
  <c r="G63"/>
  <c r="H63" s="1"/>
  <c r="I63" s="1"/>
  <c r="J63" s="1"/>
  <c r="K63" s="1"/>
  <c r="L63" s="1"/>
  <c r="M63" s="1"/>
  <c r="N63" s="1"/>
  <c r="O63" s="1"/>
  <c r="G64"/>
  <c r="H64" s="1"/>
  <c r="I64" s="1"/>
  <c r="J64" s="1"/>
  <c r="K64" s="1"/>
  <c r="L64" s="1"/>
  <c r="M64" s="1"/>
  <c r="N64" s="1"/>
  <c r="O64" s="1"/>
  <c r="G53"/>
  <c r="H53" s="1"/>
  <c r="I53" s="1"/>
  <c r="J53" s="1"/>
  <c r="K53" s="1"/>
  <c r="L53" s="1"/>
  <c r="M53" s="1"/>
  <c r="N53" s="1"/>
  <c r="O53" s="1"/>
  <c r="G52"/>
  <c r="H52" s="1"/>
  <c r="I52" s="1"/>
  <c r="J52" s="1"/>
  <c r="K52" s="1"/>
  <c r="L52" s="1"/>
  <c r="M52" s="1"/>
  <c r="N52" s="1"/>
  <c r="O52" s="1"/>
  <c r="G51"/>
  <c r="H51" s="1"/>
  <c r="I51" s="1"/>
  <c r="J51" s="1"/>
  <c r="K51" s="1"/>
  <c r="L51" s="1"/>
  <c r="M51" s="1"/>
  <c r="N51" s="1"/>
  <c r="O51" s="1"/>
  <c r="G49"/>
  <c r="G48"/>
  <c r="H48" s="1"/>
  <c r="I48" s="1"/>
  <c r="J48" s="1"/>
  <c r="K48" s="1"/>
  <c r="L48" s="1"/>
  <c r="M48" s="1"/>
  <c r="N48" s="1"/>
  <c r="O48" s="1"/>
  <c r="F65"/>
  <c r="E51" s="1"/>
  <c r="G46"/>
  <c r="H46" s="1"/>
  <c r="I46" s="1"/>
  <c r="J46" s="1"/>
  <c r="K46" s="1"/>
  <c r="L46" s="1"/>
  <c r="M46" s="1"/>
  <c r="N46" s="1"/>
  <c r="O46" s="1"/>
  <c r="E32"/>
  <c r="B44" s="1"/>
  <c r="G11"/>
  <c r="G14" s="1"/>
  <c r="G73" s="1"/>
  <c r="G8"/>
  <c r="H8" s="1"/>
  <c r="I8" s="1"/>
  <c r="J8" s="1"/>
  <c r="K8" s="1"/>
  <c r="L8" s="1"/>
  <c r="M8" s="1"/>
  <c r="N8" s="1"/>
  <c r="O8" s="1"/>
  <c r="M12" l="1"/>
  <c r="H11"/>
  <c r="G10"/>
  <c r="G13" s="1"/>
  <c r="G77" s="1"/>
  <c r="E42"/>
  <c r="E44" s="1"/>
  <c r="A75"/>
  <c r="E48"/>
  <c r="E57"/>
  <c r="E65"/>
  <c r="E54"/>
  <c r="E58"/>
  <c r="E49"/>
  <c r="E62"/>
  <c r="E50"/>
  <c r="G65"/>
  <c r="G66" s="1"/>
  <c r="G74" s="1"/>
  <c r="E61"/>
  <c r="E53"/>
  <c r="H49"/>
  <c r="I49" s="1"/>
  <c r="J49" s="1"/>
  <c r="E64"/>
  <c r="E60"/>
  <c r="E56"/>
  <c r="E52"/>
  <c r="F66"/>
  <c r="F74" s="1"/>
  <c r="E63"/>
  <c r="E59"/>
  <c r="E55"/>
  <c r="I65" l="1"/>
  <c r="I66" s="1"/>
  <c r="I74" s="1"/>
  <c r="I11"/>
  <c r="H14"/>
  <c r="H73" s="1"/>
  <c r="N12"/>
  <c r="O75"/>
  <c r="O87" s="1"/>
  <c r="K75"/>
  <c r="K87" s="1"/>
  <c r="G75"/>
  <c r="G78" s="1"/>
  <c r="I75"/>
  <c r="L75"/>
  <c r="L87" s="1"/>
  <c r="H75"/>
  <c r="N75"/>
  <c r="N87" s="1"/>
  <c r="J75"/>
  <c r="J87" s="1"/>
  <c r="M75"/>
  <c r="M87" s="1"/>
  <c r="F75"/>
  <c r="F87" s="1"/>
  <c r="H10"/>
  <c r="H13" s="1"/>
  <c r="H77" s="1"/>
  <c r="H65"/>
  <c r="H66" s="1"/>
  <c r="H74" s="1"/>
  <c r="K49"/>
  <c r="J65"/>
  <c r="J66" s="1"/>
  <c r="J74" s="1"/>
  <c r="G82" l="1"/>
  <c r="G83" s="1"/>
  <c r="F78"/>
  <c r="H78"/>
  <c r="F79"/>
  <c r="J11"/>
  <c r="I14"/>
  <c r="I73" s="1"/>
  <c r="O12"/>
  <c r="I87"/>
  <c r="G87"/>
  <c r="G79"/>
  <c r="G85" s="1"/>
  <c r="G86" s="1"/>
  <c r="H87"/>
  <c r="I10"/>
  <c r="I13" s="1"/>
  <c r="I77" s="1"/>
  <c r="I78" s="1"/>
  <c r="H79"/>
  <c r="L49"/>
  <c r="K65"/>
  <c r="K66" s="1"/>
  <c r="K74" s="1"/>
  <c r="G93" l="1"/>
  <c r="G90"/>
  <c r="I82"/>
  <c r="I83" s="1"/>
  <c r="I90" s="1"/>
  <c r="F82"/>
  <c r="F83" s="1"/>
  <c r="F90" s="1"/>
  <c r="H82"/>
  <c r="H83" s="1"/>
  <c r="H90" s="1"/>
  <c r="K11"/>
  <c r="J14"/>
  <c r="J73" s="1"/>
  <c r="P12"/>
  <c r="H85"/>
  <c r="H86" s="1"/>
  <c r="H93" s="1"/>
  <c r="F85"/>
  <c r="F86" s="1"/>
  <c r="F93" s="1"/>
  <c r="J10"/>
  <c r="J13" s="1"/>
  <c r="J77" s="1"/>
  <c r="J78" s="1"/>
  <c r="M49"/>
  <c r="L65"/>
  <c r="L66" s="1"/>
  <c r="L74" s="1"/>
  <c r="J82" l="1"/>
  <c r="J83" s="1"/>
  <c r="J90" s="1"/>
  <c r="L11"/>
  <c r="K14"/>
  <c r="K73" s="1"/>
  <c r="I79"/>
  <c r="I85" s="1"/>
  <c r="I86" s="1"/>
  <c r="I93" s="1"/>
  <c r="K10"/>
  <c r="K13" s="1"/>
  <c r="K77" s="1"/>
  <c r="K78" s="1"/>
  <c r="J79"/>
  <c r="N49"/>
  <c r="M65"/>
  <c r="M66" s="1"/>
  <c r="M74" s="1"/>
  <c r="K82" l="1"/>
  <c r="K83" s="1"/>
  <c r="K90" s="1"/>
  <c r="M11"/>
  <c r="L14"/>
  <c r="L73" s="1"/>
  <c r="J85"/>
  <c r="J86" s="1"/>
  <c r="J93" s="1"/>
  <c r="L10"/>
  <c r="L13" s="1"/>
  <c r="L77" s="1"/>
  <c r="L78" s="1"/>
  <c r="O49"/>
  <c r="N65"/>
  <c r="N66" s="1"/>
  <c r="N74" s="1"/>
  <c r="L82" l="1"/>
  <c r="L83" s="1"/>
  <c r="L90" s="1"/>
  <c r="N11"/>
  <c r="M14"/>
  <c r="M73" s="1"/>
  <c r="K79"/>
  <c r="K85" s="1"/>
  <c r="K86" s="1"/>
  <c r="K93" s="1"/>
  <c r="M10"/>
  <c r="M13" s="1"/>
  <c r="M77" s="1"/>
  <c r="M78" s="1"/>
  <c r="L79"/>
  <c r="O65"/>
  <c r="O66" s="1"/>
  <c r="O74" s="1"/>
  <c r="M82" l="1"/>
  <c r="M83" s="1"/>
  <c r="M90" s="1"/>
  <c r="O11"/>
  <c r="N14"/>
  <c r="N73" s="1"/>
  <c r="L85"/>
  <c r="L86" s="1"/>
  <c r="L93" s="1"/>
  <c r="N10"/>
  <c r="N13" s="1"/>
  <c r="N77" s="1"/>
  <c r="N78" s="1"/>
  <c r="N82" l="1"/>
  <c r="N83" s="1"/>
  <c r="N90" s="1"/>
  <c r="O14"/>
  <c r="P11"/>
  <c r="M79"/>
  <c r="M85" s="1"/>
  <c r="M86" s="1"/>
  <c r="M93" s="1"/>
  <c r="O10"/>
  <c r="O13" l="1"/>
  <c r="P14"/>
  <c r="O73"/>
  <c r="O79" s="1"/>
  <c r="O85" s="1"/>
  <c r="O86" s="1"/>
  <c r="O93" s="1"/>
  <c r="P10"/>
  <c r="N79"/>
  <c r="N85" s="1"/>
  <c r="N86" s="1"/>
  <c r="N93" s="1"/>
  <c r="P13" l="1"/>
  <c r="O77"/>
  <c r="O78" s="1"/>
  <c r="F99"/>
  <c r="O82" l="1"/>
  <c r="O83" s="1"/>
  <c r="O90" s="1"/>
</calcChain>
</file>

<file path=xl/comments1.xml><?xml version="1.0" encoding="utf-8"?>
<comments xmlns="http://schemas.openxmlformats.org/spreadsheetml/2006/main">
  <authors>
    <author>Tims Account</author>
    <author>Rich</author>
  </authors>
  <commentList>
    <comment ref="A7" authorId="0">
      <text>
        <r>
          <rPr>
            <b/>
            <sz val="8"/>
            <color indexed="81"/>
            <rFont val="Tahoma"/>
            <family val="2"/>
          </rPr>
          <t xml:space="preserve">Tim:
</t>
        </r>
        <r>
          <rPr>
            <sz val="8"/>
            <color indexed="81"/>
            <rFont val="Tahoma"/>
            <family val="2"/>
          </rPr>
          <t>Change this number to reflect the actual number of production weeks you get per year</t>
        </r>
      </text>
    </comment>
    <comment ref="C7" authorId="0">
      <text>
        <r>
          <rPr>
            <b/>
            <sz val="8"/>
            <color indexed="81"/>
            <rFont val="Tahoma"/>
            <family val="2"/>
          </rPr>
          <t xml:space="preserve">Tim:
</t>
        </r>
        <r>
          <rPr>
            <sz val="8"/>
            <color indexed="81"/>
            <rFont val="Tahoma"/>
            <family val="2"/>
          </rPr>
          <t xml:space="preserve">Change this number to reflect the actual square feet of raft area your greenhouse contains
</t>
        </r>
      </text>
    </comment>
    <comment ref="D7" authorId="0">
      <text>
        <r>
          <rPr>
            <b/>
            <sz val="8"/>
            <color indexed="81"/>
            <rFont val="Tahoma"/>
            <family val="2"/>
          </rPr>
          <t xml:space="preserve">Tim:
</t>
        </r>
        <r>
          <rPr>
            <sz val="8"/>
            <color indexed="81"/>
            <rFont val="Tahoma"/>
            <family val="2"/>
          </rPr>
          <t>Change this number to reflect the average number of holes in your system, depending on how many 55's and how many 32's you have.</t>
        </r>
      </text>
    </comment>
    <comment ref="E7" authorId="0">
      <text>
        <r>
          <rPr>
            <b/>
            <sz val="8"/>
            <color indexed="81"/>
            <rFont val="Tahoma"/>
            <family val="2"/>
          </rPr>
          <t>Tim:</t>
        </r>
        <r>
          <rPr>
            <sz val="8"/>
            <color indexed="81"/>
            <rFont val="Tahoma"/>
            <family val="2"/>
          </rPr>
          <t xml:space="preserve">
Change this number to reflect the actual weight per hole of your vegetable produce when harvested</t>
        </r>
      </text>
    </comment>
    <comment ref="F7" authorId="0">
      <text>
        <r>
          <rPr>
            <b/>
            <sz val="8"/>
            <color indexed="81"/>
            <rFont val="Tahoma"/>
            <family val="2"/>
          </rPr>
          <t xml:space="preserve">Tim:
</t>
        </r>
        <r>
          <rPr>
            <sz val="8"/>
            <color indexed="81"/>
            <rFont val="Tahoma"/>
            <family val="2"/>
          </rPr>
          <t>Change this number to reflect the actual time it takes to mature vegetables from the time they go into the nursery 55's to the time they come out of the 32's</t>
        </r>
        <r>
          <rPr>
            <sz val="8"/>
            <color indexed="81"/>
            <rFont val="Tahoma"/>
            <family val="2"/>
          </rPr>
          <t xml:space="preserve">
</t>
        </r>
      </text>
    </comment>
    <comment ref="A10" authorId="0">
      <text>
        <r>
          <rPr>
            <b/>
            <sz val="8"/>
            <color indexed="81"/>
            <rFont val="Tahoma"/>
            <family val="2"/>
          </rPr>
          <t>Tim:</t>
        </r>
        <r>
          <rPr>
            <sz val="8"/>
            <color indexed="81"/>
            <rFont val="Tahoma"/>
            <family val="2"/>
          </rPr>
          <t xml:space="preserve">
Assumption: One fourth of the raft area is harvested each week. Raft density of each 2x4 raft is 32 holes.
Equations: 
Raft Area/4=Weekly Harvest Area.
Weekly Harvest Area/8=# of 2x4 Rafts.
# of 2x4 Rafts x 32 holes ea=number of units per week.</t>
        </r>
      </text>
    </comment>
    <comment ref="B10" authorId="1">
      <text>
        <r>
          <rPr>
            <b/>
            <sz val="9"/>
            <color indexed="81"/>
            <rFont val="Tahoma"/>
            <family val="2"/>
          </rPr>
          <t>Tim:</t>
        </r>
        <r>
          <rPr>
            <sz val="9"/>
            <color indexed="81"/>
            <rFont val="Tahoma"/>
            <family val="2"/>
          </rPr>
          <t xml:space="preserve">
</t>
        </r>
        <r>
          <rPr>
            <u/>
            <sz val="9"/>
            <color indexed="81"/>
            <rFont val="Tahoma"/>
            <family val="2"/>
          </rPr>
          <t>Assumption</t>
        </r>
        <r>
          <rPr>
            <sz val="9"/>
            <color indexed="81"/>
            <rFont val="Tahoma"/>
            <family val="2"/>
          </rPr>
          <t xml:space="preserve">: One fourth of the raft area is harvested each week. Raft density of each 2x4 raft is 32 holes.
</t>
        </r>
        <r>
          <rPr>
            <u/>
            <sz val="9"/>
            <color indexed="81"/>
            <rFont val="Tahoma"/>
            <family val="2"/>
          </rPr>
          <t>Equations:</t>
        </r>
        <r>
          <rPr>
            <sz val="9"/>
            <color indexed="81"/>
            <rFont val="Tahoma"/>
            <family val="2"/>
          </rPr>
          <t xml:space="preserve"> 
Raft Area/4=Weekly Harvest Area.
Weekly Harvest Area/8=# of 2x4 Rafts.
# of 2x4 Rafts x 32 holes ea=number of units per week.</t>
        </r>
      </text>
    </comment>
    <comment ref="C10" authorId="1">
      <text>
        <r>
          <rPr>
            <b/>
            <sz val="9"/>
            <color indexed="81"/>
            <rFont val="Tahoma"/>
            <family val="2"/>
          </rPr>
          <t>Tim:</t>
        </r>
        <r>
          <rPr>
            <sz val="9"/>
            <color indexed="81"/>
            <rFont val="Tahoma"/>
            <family val="2"/>
          </rPr>
          <t xml:space="preserve">
Change this number to reflect the actual price per pound of wholesale organic produce items in your area</t>
        </r>
      </text>
    </comment>
    <comment ref="B11" authorId="1">
      <text>
        <r>
          <rPr>
            <b/>
            <sz val="9"/>
            <color indexed="81"/>
            <rFont val="Tahoma"/>
            <family val="2"/>
          </rPr>
          <t>Tim:</t>
        </r>
        <r>
          <rPr>
            <sz val="9"/>
            <color indexed="81"/>
            <rFont val="Tahoma"/>
            <family val="2"/>
          </rPr>
          <t xml:space="preserve">
</t>
        </r>
        <r>
          <rPr>
            <u/>
            <sz val="9"/>
            <color indexed="81"/>
            <rFont val="Tahoma"/>
            <family val="2"/>
          </rPr>
          <t>Assumption</t>
        </r>
        <r>
          <rPr>
            <sz val="9"/>
            <color indexed="81"/>
            <rFont val="Tahoma"/>
            <family val="2"/>
          </rPr>
          <t xml:space="preserve">: 45 weeks production yielding 10 lbs per week
</t>
        </r>
      </text>
    </comment>
    <comment ref="C11" authorId="0">
      <text>
        <r>
          <rPr>
            <b/>
            <sz val="8"/>
            <color indexed="81"/>
            <rFont val="Tahoma"/>
            <family val="2"/>
          </rPr>
          <t xml:space="preserve">Tim:
</t>
        </r>
        <r>
          <rPr>
            <sz val="8"/>
            <color indexed="81"/>
            <rFont val="Tahoma"/>
            <family val="2"/>
          </rPr>
          <t>Change this number to reflect the actual sales price of fish per pound in your area</t>
        </r>
      </text>
    </comment>
    <comment ref="C12" authorId="0">
      <text>
        <r>
          <rPr>
            <b/>
            <sz val="8"/>
            <color indexed="81"/>
            <rFont val="Tahoma"/>
            <family val="2"/>
          </rPr>
          <t xml:space="preserve">Tim:
</t>
        </r>
        <r>
          <rPr>
            <sz val="8"/>
            <color indexed="81"/>
            <rFont val="Tahoma"/>
            <family val="2"/>
          </rPr>
          <t>Change this number to reflect the actual price per unit (each) of wholesale organic produce items in your area</t>
        </r>
      </text>
    </comment>
    <comment ref="E16" authorId="1">
      <text>
        <r>
          <rPr>
            <b/>
            <sz val="9"/>
            <color indexed="81"/>
            <rFont val="Tahoma"/>
            <family val="2"/>
          </rPr>
          <t>Rich:</t>
        </r>
        <r>
          <rPr>
            <sz val="9"/>
            <color indexed="81"/>
            <rFont val="Tahoma"/>
            <family val="2"/>
          </rPr>
          <t xml:space="preserve">
</t>
        </r>
        <r>
          <rPr>
            <u/>
            <sz val="9"/>
            <color indexed="81"/>
            <rFont val="Tahoma"/>
            <family val="2"/>
          </rPr>
          <t>Assumption:</t>
        </r>
        <r>
          <rPr>
            <sz val="9"/>
            <color indexed="81"/>
            <rFont val="Tahoma"/>
            <family val="2"/>
          </rPr>
          <t xml:space="preserve"> 3% price inflation per year should be conservative.</t>
        </r>
      </text>
    </comment>
    <comment ref="E18" authorId="1">
      <text>
        <r>
          <rPr>
            <b/>
            <sz val="9"/>
            <color indexed="81"/>
            <rFont val="Tahoma"/>
            <family val="2"/>
          </rPr>
          <t>Tim:</t>
        </r>
        <r>
          <rPr>
            <sz val="9"/>
            <color indexed="81"/>
            <rFont val="Tahoma"/>
            <family val="2"/>
          </rPr>
          <t xml:space="preserve">
Weekly production varies according to cycle time and production per hole</t>
        </r>
      </text>
    </comment>
    <comment ref="C21" authorId="1">
      <text>
        <r>
          <rPr>
            <b/>
            <sz val="9"/>
            <color indexed="81"/>
            <rFont val="Tahoma"/>
            <family val="2"/>
          </rPr>
          <t>Tim:</t>
        </r>
        <r>
          <rPr>
            <sz val="9"/>
            <color indexed="81"/>
            <rFont val="Tahoma"/>
            <family val="2"/>
          </rPr>
          <t xml:space="preserve">
</t>
        </r>
        <r>
          <rPr>
            <u/>
            <sz val="9"/>
            <color indexed="81"/>
            <rFont val="Tahoma"/>
            <family val="2"/>
          </rPr>
          <t>Assumption:</t>
        </r>
        <r>
          <rPr>
            <sz val="9"/>
            <color indexed="81"/>
            <rFont val="Tahoma"/>
            <family val="2"/>
          </rPr>
          <t xml:space="preserve"> this is materials only. If paying for labor, add $5/lin ft labor costs</t>
        </r>
      </text>
    </comment>
    <comment ref="E21" authorId="0">
      <text>
        <r>
          <rPr>
            <b/>
            <sz val="8"/>
            <color indexed="81"/>
            <rFont val="Tahoma"/>
            <family val="2"/>
          </rPr>
          <t>Tim:</t>
        </r>
        <r>
          <rPr>
            <sz val="8"/>
            <color indexed="81"/>
            <rFont val="Tahoma"/>
            <family val="2"/>
          </rPr>
          <t xml:space="preserve">
Change this number to reflect the actual cost of your greenhouse</t>
        </r>
      </text>
    </comment>
    <comment ref="C23" authorId="1">
      <text>
        <r>
          <rPr>
            <b/>
            <sz val="9"/>
            <color indexed="81"/>
            <rFont val="Tahoma"/>
            <family val="2"/>
          </rPr>
          <t>Rich:</t>
        </r>
        <r>
          <rPr>
            <sz val="9"/>
            <color indexed="81"/>
            <rFont val="Tahoma"/>
            <family val="2"/>
          </rPr>
          <t xml:space="preserve">
Assumption: From Friendly 2013 Commercial Aquaponics Training manual</t>
        </r>
      </text>
    </comment>
    <comment ref="B26" authorId="1">
      <text>
        <r>
          <rPr>
            <b/>
            <sz val="9"/>
            <color indexed="81"/>
            <rFont val="Tahoma"/>
            <family val="2"/>
          </rPr>
          <t>Rich:</t>
        </r>
        <r>
          <rPr>
            <sz val="9"/>
            <color indexed="81"/>
            <rFont val="Tahoma"/>
            <family val="2"/>
          </rPr>
          <t xml:space="preserve">
Assumption: 12'x4' round corrugated metal tank with liner. Sized to add an additional outdoor field of troughs the same size (~1,776sf).</t>
        </r>
      </text>
    </comment>
    <comment ref="D30" authorId="1">
      <text>
        <r>
          <rPr>
            <b/>
            <sz val="9"/>
            <color indexed="81"/>
            <rFont val="Tahoma"/>
            <family val="2"/>
          </rPr>
          <t>Rich:</t>
        </r>
        <r>
          <rPr>
            <sz val="9"/>
            <color indexed="81"/>
            <rFont val="Tahoma"/>
            <family val="2"/>
          </rPr>
          <t xml:space="preserve">
Asumption: Use 2" Blue Board 12' high on the North, East and East walls for insulation.</t>
        </r>
      </text>
    </comment>
    <comment ref="B49" authorId="0">
      <text>
        <r>
          <rPr>
            <b/>
            <sz val="8"/>
            <color indexed="81"/>
            <rFont val="Tahoma"/>
            <family val="2"/>
          </rPr>
          <t>Tim:</t>
        </r>
        <r>
          <rPr>
            <sz val="8"/>
            <color indexed="81"/>
            <rFont val="Tahoma"/>
            <family val="2"/>
          </rPr>
          <t xml:space="preserve">
Change this number to reflect the actual cost per kilowatt hour for electricity in your area</t>
        </r>
      </text>
    </comment>
    <comment ref="C49" authorId="0">
      <text>
        <r>
          <rPr>
            <b/>
            <sz val="8"/>
            <color indexed="81"/>
            <rFont val="Tahoma"/>
            <family val="2"/>
          </rPr>
          <t>Tim:</t>
        </r>
        <r>
          <rPr>
            <sz val="8"/>
            <color indexed="81"/>
            <rFont val="Tahoma"/>
            <family val="2"/>
          </rPr>
          <t xml:space="preserve">
This number is kilowatt hours per year for basic system; change this if you redesign the system; or add components such as lighting, processing machinery, etc</t>
        </r>
      </text>
    </comment>
    <comment ref="B50" authorId="0">
      <text>
        <r>
          <rPr>
            <b/>
            <sz val="8"/>
            <color indexed="81"/>
            <rFont val="Tahoma"/>
            <family val="2"/>
          </rPr>
          <t>Tim:</t>
        </r>
        <r>
          <rPr>
            <sz val="8"/>
            <color indexed="81"/>
            <rFont val="Tahoma"/>
            <family val="2"/>
          </rPr>
          <t xml:space="preserve">
Change this number to reflect the actual cost per kilowatt hour for electricity in your area</t>
        </r>
      </text>
    </comment>
    <comment ref="C50" authorId="0">
      <text>
        <r>
          <rPr>
            <b/>
            <sz val="8"/>
            <color indexed="81"/>
            <rFont val="Tahoma"/>
            <family val="2"/>
          </rPr>
          <t>Tim:</t>
        </r>
        <r>
          <rPr>
            <sz val="8"/>
            <color indexed="81"/>
            <rFont val="Tahoma"/>
            <family val="2"/>
          </rPr>
          <t xml:space="preserve">
This number is kilowatt hours per year for 90 days of ten hours per day lighting over 48 lineal feet of 4-foot wide sprouting table</t>
        </r>
      </text>
    </comment>
    <comment ref="B54" authorId="0">
      <text>
        <r>
          <rPr>
            <b/>
            <sz val="8"/>
            <color indexed="81"/>
            <rFont val="Tahoma"/>
            <family val="2"/>
          </rPr>
          <t>Tim:</t>
        </r>
        <r>
          <rPr>
            <sz val="8"/>
            <color indexed="81"/>
            <rFont val="Tahoma"/>
            <family val="2"/>
          </rPr>
          <t xml:space="preserve">
Change this number to the actual cost of fish food per pound in your area</t>
        </r>
      </text>
    </comment>
    <comment ref="C85" authorId="0">
      <text>
        <r>
          <rPr>
            <b/>
            <sz val="8"/>
            <color indexed="81"/>
            <rFont val="Tahoma"/>
            <family val="2"/>
          </rPr>
          <t>Tim:</t>
        </r>
        <r>
          <rPr>
            <sz val="8"/>
            <color indexed="81"/>
            <rFont val="Tahoma"/>
            <family val="2"/>
          </rPr>
          <t xml:space="preserve">
Change this number to reflect the approximate personal tax bracket you expect to be in</t>
        </r>
      </text>
    </comment>
  </commentList>
</comments>
</file>

<file path=xl/sharedStrings.xml><?xml version="1.0" encoding="utf-8"?>
<sst xmlns="http://schemas.openxmlformats.org/spreadsheetml/2006/main" count="135" uniqueCount="126">
  <si>
    <t>$/unit</t>
  </si>
  <si>
    <t>Product</t>
  </si>
  <si>
    <t>Year</t>
  </si>
  <si>
    <t>Expense Development Costs</t>
  </si>
  <si>
    <t>Land</t>
  </si>
  <si>
    <t>Pumps</t>
  </si>
  <si>
    <t>Piping</t>
  </si>
  <si>
    <t>Total Capital Costs</t>
  </si>
  <si>
    <t>Total Soft Costs</t>
  </si>
  <si>
    <t>Total Development Costs</t>
  </si>
  <si>
    <t>Expense Operating Costs</t>
  </si>
  <si>
    <t>Total Operating Costs</t>
  </si>
  <si>
    <t>Total Costs</t>
  </si>
  <si>
    <t>% Total Op Costs Year 1</t>
  </si>
  <si>
    <t>Taxable Income &amp; Cash Flow</t>
  </si>
  <si>
    <t>Depreciation</t>
  </si>
  <si>
    <t>Operating Expenses</t>
  </si>
  <si>
    <t>Interest Paid on Loans</t>
  </si>
  <si>
    <t>*, ***</t>
  </si>
  <si>
    <t>**, ***</t>
  </si>
  <si>
    <t>** Inflation</t>
  </si>
  <si>
    <t>*** Energy Inflation</t>
  </si>
  <si>
    <t>Electricity for Pumps ***</t>
  </si>
  <si>
    <t>Propane for Greenhouse ***</t>
  </si>
  <si>
    <t>Labor *, **</t>
  </si>
  <si>
    <t>Water **</t>
  </si>
  <si>
    <t>Fish Food **</t>
  </si>
  <si>
    <t>Seeds **</t>
  </si>
  <si>
    <t>Fingerlings **</t>
  </si>
  <si>
    <t>Other Agricultural Materials **</t>
  </si>
  <si>
    <t>Replacement Costs **</t>
  </si>
  <si>
    <t>Operating Reserve **</t>
  </si>
  <si>
    <t>Marketing **</t>
  </si>
  <si>
    <t>Transportation &amp; Delivery **</t>
  </si>
  <si>
    <t>Insurance **</t>
  </si>
  <si>
    <t>Accounting **</t>
  </si>
  <si>
    <t>Property &amp; Equipment Taxes **</t>
  </si>
  <si>
    <t>Depreciable</t>
  </si>
  <si>
    <t>Base</t>
  </si>
  <si>
    <t>*After Income Taxes, Depreciation and Loan Ammortization</t>
  </si>
  <si>
    <t>Profitability</t>
  </si>
  <si>
    <t>Present Value</t>
  </si>
  <si>
    <t>Net Present Value</t>
  </si>
  <si>
    <t>Ammortization Schedule</t>
  </si>
  <si>
    <t>Ending Balance</t>
  </si>
  <si>
    <t>Total Annual Payment</t>
  </si>
  <si>
    <t>Interest Charge</t>
  </si>
  <si>
    <t>Years</t>
  </si>
  <si>
    <t>Life of the Loan</t>
  </si>
  <si>
    <t>Amortization*</t>
  </si>
  <si>
    <t>* Amortization = principal payment</t>
  </si>
  <si>
    <t>Stocking Density/gal</t>
  </si>
  <si>
    <t>Water Storage gal</t>
  </si>
  <si>
    <t>Lbs./wk.</t>
  </si>
  <si>
    <t>1 - Fish Tanks (2,057/gal ea.)</t>
  </si>
  <si>
    <t>Propane for Fish Tank Heater ***</t>
  </si>
  <si>
    <t>Sprouting Tables Lights/electricity***</t>
  </si>
  <si>
    <t>*** Product Price Inflation = 3%/year</t>
  </si>
  <si>
    <t>Total Cost/sf</t>
  </si>
  <si>
    <t>Developent Cost/sf</t>
  </si>
  <si>
    <t>Capital Cost/sf</t>
  </si>
  <si>
    <t>Water to fill</t>
  </si>
  <si>
    <t>2" Blue Board (.98/sf)</t>
  </si>
  <si>
    <t>Other Equipment (Backup Solar)</t>
  </si>
  <si>
    <t>Weeks of Production</t>
  </si>
  <si>
    <t>Raft Area sf</t>
  </si>
  <si>
    <t>Fish (Whole)</t>
  </si>
  <si>
    <t>Labor to Construct</t>
  </si>
  <si>
    <t>Building Permits</t>
  </si>
  <si>
    <t>Site Preparation</t>
  </si>
  <si>
    <t>Sprouting Tables</t>
  </si>
  <si>
    <t>Holes per 2x4 Raft</t>
  </si>
  <si>
    <t>Climate Design</t>
  </si>
  <si>
    <t>Moderate</t>
  </si>
  <si>
    <t>W</t>
  </si>
  <si>
    <t>L</t>
  </si>
  <si>
    <t>SF</t>
  </si>
  <si>
    <t>Fish Tank gals</t>
  </si>
  <si>
    <t>** $5/fish live</t>
  </si>
  <si>
    <t>Flow of funds discounted to present value at a rate of .01</t>
  </si>
  <si>
    <t xml:space="preserve">Ten Year </t>
  </si>
  <si>
    <t>Modified High Tunnel</t>
  </si>
  <si>
    <t xml:space="preserve">Greenhouse Cost + Installation </t>
  </si>
  <si>
    <t>$/ft</t>
  </si>
  <si>
    <t>Greenhouse Area (sf)</t>
  </si>
  <si>
    <t>Trough (lf)</t>
  </si>
  <si>
    <t>Sprouting Table (lf)</t>
  </si>
  <si>
    <t>Lighting, wiring, and receptacles</t>
  </si>
  <si>
    <t>Cycle Time</t>
  </si>
  <si>
    <t>Pounds/yr</t>
  </si>
  <si>
    <t>Units Per Year</t>
  </si>
  <si>
    <t>Leafy Greens per pound</t>
  </si>
  <si>
    <t>Leafy Greens per each</t>
  </si>
  <si>
    <t>*$3/head  Retail, $1.80/head Wholesale</t>
  </si>
  <si>
    <t>Gross Income By The Each</t>
  </si>
  <si>
    <t>Gross Income By The Pound</t>
  </si>
  <si>
    <t>Pounds of Vegetable Production per week</t>
  </si>
  <si>
    <t>Price Inflation Per Year</t>
  </si>
  <si>
    <t>Trough Liner, Lumber &amp; Stakes</t>
  </si>
  <si>
    <t>Fish Tank Heater and Pump</t>
  </si>
  <si>
    <t>Plumbing Labor</t>
  </si>
  <si>
    <t>Electrical Labor</t>
  </si>
  <si>
    <t>Net Income before Taxes, By The Each</t>
  </si>
  <si>
    <t>Net Income before Taxes, By The Pound</t>
  </si>
  <si>
    <t>Income from Operations, By The Each</t>
  </si>
  <si>
    <t>Income from Operations, By The Pound</t>
  </si>
  <si>
    <t>Net "Each" Income After Taxes</t>
  </si>
  <si>
    <t>Net "Each" Cash Flow*</t>
  </si>
  <si>
    <t>Net "Pound" Income After Taxes</t>
  </si>
  <si>
    <t>Net "Pound" Cash Flow*</t>
  </si>
  <si>
    <t>"Pound" Income Taxes</t>
  </si>
  <si>
    <t>"Each" Income Taxes</t>
  </si>
  <si>
    <t>* 1 person @ $15/hr x 12 months</t>
  </si>
  <si>
    <t>Tax Rate 25%</t>
  </si>
  <si>
    <r>
      <rPr>
        <b/>
        <sz val="11"/>
        <color theme="1"/>
        <rFont val="Calibri"/>
        <family val="2"/>
        <scheme val="minor"/>
      </rPr>
      <t>Plant Weight</t>
    </r>
    <r>
      <rPr>
        <sz val="11"/>
        <color theme="1"/>
        <rFont val="Calibri"/>
        <family val="2"/>
        <scheme val="minor"/>
      </rPr>
      <t xml:space="preserve"> (production per hole)</t>
    </r>
  </si>
  <si>
    <t>Electricity Cost for Aquaponics</t>
  </si>
  <si>
    <t>Electricity Cost for Sprouting Table</t>
  </si>
  <si>
    <t>Fish Food Cost</t>
  </si>
  <si>
    <t>Key Color:</t>
  </si>
  <si>
    <t>What Is It?</t>
  </si>
  <si>
    <t>Formulas: if you know how to mess with these, you don't need us</t>
  </si>
  <si>
    <t>VERY accurate numbers, don't mess with them unless you're REALLY sure</t>
  </si>
  <si>
    <t>Places you MUST input your local numbers for an accurate projection</t>
  </si>
  <si>
    <t>Accurate numbers; don't mess with them unless you're sure</t>
  </si>
  <si>
    <t>Friendly Aquaponics Financial Proforma for single 35 X 96 greenhouse</t>
  </si>
  <si>
    <t>White boxes are your results, DON'T MESS WITH THEM AT ALL!</t>
  </si>
</sst>
</file>

<file path=xl/styles.xml><?xml version="1.0" encoding="utf-8"?>
<styleSheet xmlns="http://schemas.openxmlformats.org/spreadsheetml/2006/main">
  <numFmts count="8">
    <numFmt numFmtId="6" formatCode="&quot;$&quot;#,##0_);[Red]\(&quot;$&quot;#,##0\)"/>
    <numFmt numFmtId="44" formatCode="_(&quot;$&quot;* #,##0.00_);_(&quot;$&quot;* \(#,##0.00\);_(&quot;$&quot;* &quot;-&quot;??_);_(@_)"/>
    <numFmt numFmtId="43" formatCode="_(* #,##0.00_);_(* \(#,##0.00\);_(* &quot;-&quot;??_);_(@_)"/>
    <numFmt numFmtId="164" formatCode="_([$$-409]* #,##0_);_([$$-409]* \(#,##0\);_([$$-409]* &quot;-&quot;??_);_(@_)"/>
    <numFmt numFmtId="165" formatCode="&quot;$&quot;#,##0"/>
    <numFmt numFmtId="166" formatCode="_(&quot;$&quot;* #,##0_);_(&quot;$&quot;* \(#,##0\);_(&quot;$&quot;* &quot;-&quot;??_);_(@_)"/>
    <numFmt numFmtId="167" formatCode="&quot;$&quot;#,##0.00"/>
    <numFmt numFmtId="168" formatCode="_(* #,##0_);_(* \(#,##0\);_(* &quot;-&quot;??_);_(@_)"/>
  </numFmts>
  <fonts count="14">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1"/>
      <color theme="1"/>
      <name val="Calibri"/>
      <family val="2"/>
      <scheme val="minor"/>
    </font>
    <font>
      <sz val="9"/>
      <color indexed="81"/>
      <name val="Tahoma"/>
      <family val="2"/>
    </font>
    <font>
      <b/>
      <sz val="9"/>
      <color indexed="81"/>
      <name val="Tahoma"/>
      <family val="2"/>
    </font>
    <font>
      <sz val="11"/>
      <color rgb="FF3F3F76"/>
      <name val="Calibri"/>
      <family val="2"/>
      <scheme val="minor"/>
    </font>
    <font>
      <b/>
      <sz val="11"/>
      <color rgb="FFFA7D00"/>
      <name val="Calibri"/>
      <family val="2"/>
      <scheme val="minor"/>
    </font>
    <font>
      <u/>
      <sz val="9"/>
      <color indexed="81"/>
      <name val="Tahoma"/>
      <family val="2"/>
    </font>
    <font>
      <sz val="8"/>
      <color indexed="81"/>
      <name val="Tahoma"/>
      <family val="2"/>
    </font>
    <font>
      <b/>
      <sz val="8"/>
      <color indexed="81"/>
      <name val="Tahoma"/>
      <family val="2"/>
    </font>
    <font>
      <b/>
      <sz val="12"/>
      <color theme="1"/>
      <name val="Calibri"/>
      <family val="2"/>
      <scheme val="minor"/>
    </font>
  </fonts>
  <fills count="11">
    <fill>
      <patternFill patternType="none"/>
    </fill>
    <fill>
      <patternFill patternType="gray125"/>
    </fill>
    <fill>
      <patternFill patternType="solid">
        <fgColor theme="6"/>
      </patternFill>
    </fill>
    <fill>
      <patternFill patternType="solid">
        <fgColor theme="6" tint="0.39997558519241921"/>
        <bgColor indexed="65"/>
      </patternFill>
    </fill>
    <fill>
      <patternFill patternType="solid">
        <fgColor rgb="FFFFFFCC"/>
      </patternFill>
    </fill>
    <fill>
      <patternFill patternType="solid">
        <fgColor rgb="FFFFCC99"/>
      </patternFill>
    </fill>
    <fill>
      <patternFill patternType="solid">
        <fgColor rgb="FFF2F2F2"/>
      </patternFill>
    </fill>
    <fill>
      <patternFill patternType="solid">
        <fgColor rgb="FF00B0F0"/>
        <bgColor indexed="64"/>
      </patternFill>
    </fill>
    <fill>
      <patternFill patternType="solid">
        <fgColor rgb="FF00B050"/>
        <bgColor indexed="64"/>
      </patternFill>
    </fill>
    <fill>
      <patternFill patternType="solid">
        <fgColor rgb="FFFFFFCC"/>
        <bgColor indexed="64"/>
      </patternFill>
    </fill>
    <fill>
      <patternFill patternType="solid">
        <fgColor rgb="FFFFCC99"/>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indexed="64"/>
      </bottom>
      <diagonal/>
    </border>
    <border>
      <left style="thin">
        <color rgb="FF7F7F7F"/>
      </left>
      <right style="thin">
        <color rgb="FF7F7F7F"/>
      </right>
      <top style="thin">
        <color indexed="64"/>
      </top>
      <bottom style="thin">
        <color indexed="64"/>
      </bottom>
      <diagonal/>
    </border>
    <border>
      <left style="thin">
        <color rgb="FFB2B2B2"/>
      </left>
      <right style="thin">
        <color rgb="FFB2B2B2"/>
      </right>
      <top style="thin">
        <color rgb="FFB2B2B2"/>
      </top>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style="thin">
        <color indexed="64"/>
      </bottom>
      <diagonal/>
    </border>
    <border>
      <left style="thin">
        <color rgb="FFB2B2B2"/>
      </left>
      <right style="thin">
        <color rgb="FFB2B2B2"/>
      </right>
      <top/>
      <bottom style="thin">
        <color rgb="FFB2B2B2"/>
      </bottom>
      <diagonal/>
    </border>
    <border>
      <left style="hair">
        <color rgb="FF7F7F7F"/>
      </left>
      <right style="hair">
        <color rgb="FF7F7F7F"/>
      </right>
      <top style="hair">
        <color rgb="FF7F7F7F"/>
      </top>
      <bottom style="hair">
        <color rgb="FF7F7F7F"/>
      </bottom>
      <diagonal/>
    </border>
    <border>
      <left/>
      <right style="thin">
        <color rgb="FF7F7F7F"/>
      </right>
      <top style="thin">
        <color rgb="FF7F7F7F"/>
      </top>
      <bottom style="thin">
        <color rgb="FF7F7F7F"/>
      </bottom>
      <diagonal/>
    </border>
    <border>
      <left/>
      <right/>
      <top style="thin">
        <color indexed="64"/>
      </top>
      <bottom/>
      <diagonal/>
    </border>
    <border>
      <left/>
      <right style="hair">
        <color auto="1"/>
      </right>
      <top/>
      <bottom style="hair">
        <color auto="1"/>
      </bottom>
      <diagonal/>
    </border>
  </borders>
  <cellStyleXfs count="8">
    <xf numFmtId="0" fontId="0" fillId="0" borderId="0"/>
    <xf numFmtId="0" fontId="2" fillId="2" borderId="0" applyNumberFormat="0" applyBorder="0" applyAlignment="0" applyProtection="0"/>
    <xf numFmtId="0" fontId="2" fillId="3"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4" borderId="3" applyNumberFormat="0" applyFont="0" applyAlignment="0" applyProtection="0"/>
    <xf numFmtId="0" fontId="8" fillId="5" borderId="4" applyNumberFormat="0" applyAlignment="0" applyProtection="0"/>
    <xf numFmtId="0" fontId="9" fillId="6" borderId="4" applyNumberFormat="0" applyAlignment="0" applyProtection="0"/>
  </cellStyleXfs>
  <cellXfs count="102">
    <xf numFmtId="0" fontId="0" fillId="0" borderId="0" xfId="0"/>
    <xf numFmtId="0" fontId="0" fillId="0" borderId="1" xfId="0" applyBorder="1"/>
    <xf numFmtId="3" fontId="0" fillId="0" borderId="0" xfId="0" applyNumberFormat="1"/>
    <xf numFmtId="0" fontId="1" fillId="0" borderId="1" xfId="0" applyFont="1" applyBorder="1"/>
    <xf numFmtId="0" fontId="1" fillId="0" borderId="0" xfId="0" applyFont="1"/>
    <xf numFmtId="0" fontId="1" fillId="0" borderId="0" xfId="0" applyFont="1" applyAlignment="1">
      <alignment horizontal="center"/>
    </xf>
    <xf numFmtId="0" fontId="0" fillId="0" borderId="0" xfId="0" applyAlignment="1">
      <alignment horizontal="right"/>
    </xf>
    <xf numFmtId="0" fontId="1" fillId="0" borderId="2" xfId="0" applyFont="1" applyBorder="1" applyAlignment="1">
      <alignment horizontal="center"/>
    </xf>
    <xf numFmtId="0" fontId="1" fillId="0" borderId="0" xfId="0" applyFont="1" applyAlignment="1">
      <alignment horizontal="right"/>
    </xf>
    <xf numFmtId="0" fontId="0" fillId="0" borderId="0" xfId="0" applyAlignment="1">
      <alignment wrapText="1"/>
    </xf>
    <xf numFmtId="9" fontId="0" fillId="0" borderId="0" xfId="0" applyNumberFormat="1"/>
    <xf numFmtId="164" fontId="0" fillId="0" borderId="0" xfId="0" applyNumberFormat="1"/>
    <xf numFmtId="165" fontId="0" fillId="0" borderId="0" xfId="0" applyNumberFormat="1"/>
    <xf numFmtId="0" fontId="0" fillId="0" borderId="0" xfId="0" applyBorder="1"/>
    <xf numFmtId="0" fontId="0" fillId="0" borderId="0" xfId="0" applyAlignment="1">
      <alignment horizontal="center"/>
    </xf>
    <xf numFmtId="0" fontId="2" fillId="3" borderId="1" xfId="2" applyBorder="1"/>
    <xf numFmtId="0" fontId="3" fillId="3" borderId="1" xfId="2" applyFont="1" applyBorder="1"/>
    <xf numFmtId="0" fontId="4" fillId="3" borderId="1" xfId="2" applyFont="1" applyBorder="1" applyAlignment="1">
      <alignment horizontal="right"/>
    </xf>
    <xf numFmtId="0" fontId="3" fillId="2" borderId="1" xfId="1" applyFont="1" applyBorder="1"/>
    <xf numFmtId="0" fontId="0" fillId="0" borderId="0" xfId="0" applyBorder="1" applyAlignment="1">
      <alignment horizontal="center"/>
    </xf>
    <xf numFmtId="0" fontId="0" fillId="0" borderId="0" xfId="0" applyFill="1" applyBorder="1"/>
    <xf numFmtId="0" fontId="1" fillId="0" borderId="2" xfId="0" applyFont="1" applyBorder="1" applyAlignment="1">
      <alignment horizontal="right"/>
    </xf>
    <xf numFmtId="0" fontId="0" fillId="0" borderId="2" xfId="0" applyBorder="1"/>
    <xf numFmtId="0" fontId="4" fillId="2" borderId="1" xfId="1" applyFont="1" applyBorder="1"/>
    <xf numFmtId="0" fontId="0" fillId="0" borderId="0" xfId="0" applyAlignment="1">
      <alignment horizontal="left"/>
    </xf>
    <xf numFmtId="44" fontId="0" fillId="0" borderId="0" xfId="4" applyFont="1"/>
    <xf numFmtId="166" fontId="0" fillId="0" borderId="0" xfId="4" applyNumberFormat="1" applyFont="1"/>
    <xf numFmtId="6" fontId="0" fillId="0" borderId="0" xfId="0" applyNumberFormat="1"/>
    <xf numFmtId="0" fontId="0" fillId="0" borderId="2" xfId="0" applyBorder="1" applyAlignment="1">
      <alignment horizontal="right"/>
    </xf>
    <xf numFmtId="6" fontId="0" fillId="0" borderId="2" xfId="0" applyNumberFormat="1" applyBorder="1"/>
    <xf numFmtId="0" fontId="0" fillId="0" borderId="0" xfId="0" applyBorder="1" applyAlignment="1">
      <alignment horizontal="right"/>
    </xf>
    <xf numFmtId="0" fontId="0" fillId="4" borderId="3" xfId="5" applyFont="1"/>
    <xf numFmtId="37" fontId="1" fillId="6" borderId="4" xfId="7" applyNumberFormat="1" applyFont="1" applyAlignment="1">
      <alignment horizontal="right"/>
    </xf>
    <xf numFmtId="3" fontId="1" fillId="6" borderId="4" xfId="7" applyNumberFormat="1" applyFont="1"/>
    <xf numFmtId="165" fontId="1" fillId="6" borderId="4" xfId="7" applyNumberFormat="1" applyFont="1"/>
    <xf numFmtId="165" fontId="1" fillId="6" borderId="6" xfId="7" applyNumberFormat="1" applyFont="1" applyBorder="1"/>
    <xf numFmtId="165" fontId="1" fillId="6" borderId="8" xfId="7" applyNumberFormat="1" applyFont="1" applyBorder="1"/>
    <xf numFmtId="165" fontId="1" fillId="6" borderId="9" xfId="7" applyNumberFormat="1" applyFont="1" applyBorder="1"/>
    <xf numFmtId="9" fontId="1" fillId="6" borderId="4" xfId="7" applyNumberFormat="1" applyFont="1"/>
    <xf numFmtId="9" fontId="1" fillId="6" borderId="10" xfId="7" applyNumberFormat="1" applyFont="1" applyBorder="1"/>
    <xf numFmtId="0" fontId="0" fillId="0" borderId="0" xfId="0" applyFill="1"/>
    <xf numFmtId="0" fontId="1" fillId="6" borderId="4" xfId="7" applyFont="1"/>
    <xf numFmtId="167" fontId="1" fillId="6" borderId="4" xfId="7" applyNumberFormat="1" applyFont="1"/>
    <xf numFmtId="167" fontId="1" fillId="0" borderId="0" xfId="0" applyNumberFormat="1" applyFont="1"/>
    <xf numFmtId="3" fontId="1" fillId="6" borderId="9" xfId="7" applyNumberFormat="1" applyFont="1" applyBorder="1"/>
    <xf numFmtId="3" fontId="5" fillId="6" borderId="4" xfId="7" applyNumberFormat="1" applyFont="1"/>
    <xf numFmtId="165" fontId="5" fillId="6" borderId="4" xfId="7" applyNumberFormat="1" applyFont="1"/>
    <xf numFmtId="166" fontId="5" fillId="6" borderId="10" xfId="7" applyNumberFormat="1" applyFont="1" applyBorder="1"/>
    <xf numFmtId="0" fontId="5" fillId="6" borderId="10" xfId="7" applyFont="1" applyBorder="1"/>
    <xf numFmtId="3" fontId="5" fillId="6" borderId="10" xfId="7" applyNumberFormat="1" applyFont="1" applyBorder="1"/>
    <xf numFmtId="166" fontId="0" fillId="4" borderId="3" xfId="5" applyNumberFormat="1" applyFont="1"/>
    <xf numFmtId="0" fontId="0" fillId="4" borderId="11" xfId="5" applyFont="1" applyBorder="1"/>
    <xf numFmtId="0" fontId="0" fillId="4" borderId="5" xfId="5" applyFont="1" applyBorder="1"/>
    <xf numFmtId="37" fontId="0" fillId="4" borderId="3" xfId="5" applyNumberFormat="1" applyFont="1" applyAlignment="1" applyProtection="1">
      <alignment horizontal="right"/>
      <protection locked="0"/>
    </xf>
    <xf numFmtId="39" fontId="0" fillId="4" borderId="3" xfId="5" applyNumberFormat="1" applyFont="1" applyAlignment="1" applyProtection="1">
      <alignment horizontal="right"/>
      <protection locked="0"/>
    </xf>
    <xf numFmtId="168" fontId="0" fillId="4" borderId="3" xfId="5" applyNumberFormat="1" applyFont="1" applyProtection="1">
      <protection locked="0"/>
    </xf>
    <xf numFmtId="0" fontId="0" fillId="4" borderId="3" xfId="5" applyFont="1" applyProtection="1">
      <protection locked="0"/>
    </xf>
    <xf numFmtId="3" fontId="0" fillId="4" borderId="5" xfId="5" applyNumberFormat="1" applyFont="1" applyBorder="1" applyProtection="1">
      <protection locked="0"/>
    </xf>
    <xf numFmtId="3" fontId="0" fillId="4" borderId="3" xfId="5" applyNumberFormat="1" applyFont="1" applyProtection="1">
      <protection locked="0"/>
    </xf>
    <xf numFmtId="3" fontId="0" fillId="4" borderId="7" xfId="5" applyNumberFormat="1" applyFont="1" applyBorder="1" applyProtection="1">
      <protection locked="0"/>
    </xf>
    <xf numFmtId="2" fontId="0" fillId="4" borderId="3" xfId="5" applyNumberFormat="1" applyFont="1" applyProtection="1">
      <protection locked="0"/>
    </xf>
    <xf numFmtId="0" fontId="3" fillId="2" borderId="1" xfId="1" applyFont="1" applyBorder="1" applyAlignment="1">
      <alignment horizontal="right"/>
    </xf>
    <xf numFmtId="44" fontId="0" fillId="4" borderId="3" xfId="5" applyNumberFormat="1" applyFont="1"/>
    <xf numFmtId="168" fontId="0" fillId="0" borderId="0" xfId="3" applyNumberFormat="1" applyFont="1" applyBorder="1" applyAlignment="1"/>
    <xf numFmtId="1" fontId="0" fillId="0" borderId="0" xfId="3" applyNumberFormat="1" applyFont="1"/>
    <xf numFmtId="1" fontId="5" fillId="6" borderId="4" xfId="7" applyNumberFormat="1" applyFont="1"/>
    <xf numFmtId="44" fontId="5" fillId="6" borderId="4" xfId="7" applyNumberFormat="1" applyFont="1"/>
    <xf numFmtId="0" fontId="3" fillId="3" borderId="1" xfId="2" applyFont="1" applyBorder="1" applyAlignment="1">
      <alignment horizontal="right"/>
    </xf>
    <xf numFmtId="37" fontId="1" fillId="6" borderId="4" xfId="7" applyNumberFormat="1" applyFont="1"/>
    <xf numFmtId="168" fontId="5" fillId="6" borderId="4" xfId="7" applyNumberFormat="1" applyFont="1" applyProtection="1">
      <protection locked="0"/>
    </xf>
    <xf numFmtId="3" fontId="8" fillId="5" borderId="4" xfId="6" applyNumberFormat="1" applyProtection="1">
      <protection locked="0"/>
    </xf>
    <xf numFmtId="0" fontId="3" fillId="3" borderId="2" xfId="2" applyFont="1" applyBorder="1"/>
    <xf numFmtId="37" fontId="0" fillId="7" borderId="3" xfId="5" applyNumberFormat="1" applyFont="1" applyFill="1" applyAlignment="1" applyProtection="1">
      <alignment horizontal="center"/>
      <protection locked="0"/>
    </xf>
    <xf numFmtId="37" fontId="0" fillId="7" borderId="3" xfId="5" applyNumberFormat="1" applyFont="1" applyFill="1" applyAlignment="1" applyProtection="1">
      <alignment horizontal="right"/>
      <protection locked="0"/>
    </xf>
    <xf numFmtId="0" fontId="0" fillId="7" borderId="3" xfId="5" applyFont="1" applyFill="1"/>
    <xf numFmtId="0" fontId="0" fillId="7" borderId="3" xfId="0" applyFill="1" applyBorder="1"/>
    <xf numFmtId="0" fontId="0" fillId="7" borderId="12" xfId="0" applyFill="1" applyBorder="1" applyAlignment="1">
      <alignment horizontal="right"/>
    </xf>
    <xf numFmtId="39" fontId="0" fillId="7" borderId="3" xfId="5" applyNumberFormat="1" applyFont="1" applyFill="1" applyAlignment="1" applyProtection="1">
      <alignment horizontal="right"/>
      <protection locked="0"/>
    </xf>
    <xf numFmtId="3" fontId="1" fillId="0" borderId="0" xfId="0" applyNumberFormat="1" applyFont="1"/>
    <xf numFmtId="37" fontId="1" fillId="8" borderId="13" xfId="7" applyNumberFormat="1" applyFont="1" applyFill="1" applyBorder="1" applyAlignment="1" applyProtection="1">
      <alignment horizontal="right"/>
      <protection locked="0"/>
    </xf>
    <xf numFmtId="3" fontId="1" fillId="8" borderId="0" xfId="0" applyNumberFormat="1" applyFont="1" applyFill="1"/>
    <xf numFmtId="168" fontId="1" fillId="8" borderId="4" xfId="7" applyNumberFormat="1" applyFont="1" applyFill="1"/>
    <xf numFmtId="37" fontId="1" fillId="7" borderId="3" xfId="5" applyNumberFormat="1" applyFont="1" applyFill="1" applyAlignment="1" applyProtection="1">
      <alignment horizontal="right"/>
      <protection locked="0"/>
    </xf>
    <xf numFmtId="3" fontId="0" fillId="7" borderId="3" xfId="5" applyNumberFormat="1" applyFont="1" applyFill="1" applyProtection="1">
      <protection locked="0"/>
    </xf>
    <xf numFmtId="166" fontId="5" fillId="6" borderId="8" xfId="7" applyNumberFormat="1" applyFont="1" applyBorder="1"/>
    <xf numFmtId="3" fontId="5" fillId="6" borderId="8" xfId="7" applyNumberFormat="1" applyFont="1" applyBorder="1"/>
    <xf numFmtId="166" fontId="1" fillId="6" borderId="8" xfId="7" applyNumberFormat="1" applyFont="1" applyBorder="1"/>
    <xf numFmtId="3" fontId="1" fillId="6" borderId="0" xfId="7" applyNumberFormat="1" applyFont="1" applyBorder="1"/>
    <xf numFmtId="165" fontId="1" fillId="6" borderId="0" xfId="7" applyNumberFormat="1" applyFont="1" applyBorder="1"/>
    <xf numFmtId="0" fontId="4" fillId="2" borderId="14" xfId="1" applyFont="1" applyBorder="1"/>
    <xf numFmtId="0" fontId="3" fillId="2" borderId="14" xfId="1" applyFont="1" applyBorder="1"/>
    <xf numFmtId="0" fontId="0" fillId="0" borderId="15" xfId="0" applyBorder="1"/>
    <xf numFmtId="9" fontId="0" fillId="7" borderId="0" xfId="0" applyNumberFormat="1" applyFill="1"/>
    <xf numFmtId="0" fontId="0" fillId="7" borderId="0" xfId="0" applyFill="1"/>
    <xf numFmtId="0" fontId="1" fillId="0" borderId="0" xfId="0" applyFont="1" applyAlignment="1">
      <alignment horizontal="left"/>
    </xf>
    <xf numFmtId="0" fontId="13" fillId="0" borderId="0" xfId="0" applyFont="1"/>
    <xf numFmtId="0" fontId="0" fillId="9" borderId="0" xfId="0" applyFill="1"/>
    <xf numFmtId="3" fontId="8" fillId="10" borderId="4" xfId="6" applyNumberFormat="1" applyFill="1" applyProtection="1">
      <protection locked="0"/>
    </xf>
    <xf numFmtId="0" fontId="0" fillId="10" borderId="0" xfId="0" applyFill="1"/>
    <xf numFmtId="0" fontId="0" fillId="8" borderId="0" xfId="0" applyFill="1"/>
    <xf numFmtId="2" fontId="0" fillId="0" borderId="0" xfId="0" applyNumberFormat="1" applyBorder="1"/>
    <xf numFmtId="2" fontId="0" fillId="7" borderId="0" xfId="0" applyNumberFormat="1" applyFill="1" applyBorder="1"/>
  </cellXfs>
  <cellStyles count="8">
    <cellStyle name="60% - Accent3" xfId="2" builtinId="40"/>
    <cellStyle name="Accent3" xfId="1" builtinId="37"/>
    <cellStyle name="Calculation" xfId="7" builtinId="22"/>
    <cellStyle name="Comma" xfId="3" builtinId="3"/>
    <cellStyle name="Currency" xfId="4" builtinId="4"/>
    <cellStyle name="Input" xfId="6" builtinId="20"/>
    <cellStyle name="Normal" xfId="0" builtinId="0"/>
    <cellStyle name="Note" xfId="5" builtinId="10"/>
  </cellStyles>
  <dxfs count="0"/>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107"/>
  <sheetViews>
    <sheetView tabSelected="1" topLeftCell="A70" workbookViewId="0">
      <selection activeCell="G16" sqref="G16"/>
    </sheetView>
  </sheetViews>
  <sheetFormatPr defaultRowHeight="15"/>
  <cols>
    <col min="1" max="1" width="21.7109375" customWidth="1"/>
    <col min="2" max="2" width="12.7109375" customWidth="1"/>
    <col min="3" max="3" width="12.42578125" bestFit="1" customWidth="1"/>
    <col min="4" max="4" width="29.140625" customWidth="1"/>
    <col min="5" max="6" width="12.5703125" bestFit="1" customWidth="1"/>
    <col min="7" max="16" width="11.5703125" bestFit="1" customWidth="1"/>
  </cols>
  <sheetData>
    <row r="1" spans="1:16" ht="15.75">
      <c r="A1" s="4" t="s">
        <v>124</v>
      </c>
      <c r="G1" s="95" t="s">
        <v>118</v>
      </c>
      <c r="H1" s="95" t="s">
        <v>119</v>
      </c>
    </row>
    <row r="2" spans="1:16">
      <c r="A2" s="4"/>
      <c r="B2" s="6" t="s">
        <v>74</v>
      </c>
      <c r="C2" s="6" t="s">
        <v>75</v>
      </c>
      <c r="D2" s="6" t="s">
        <v>76</v>
      </c>
      <c r="G2" s="93"/>
      <c r="H2" s="4" t="s">
        <v>122</v>
      </c>
    </row>
    <row r="3" spans="1:16">
      <c r="A3" s="4" t="s">
        <v>81</v>
      </c>
      <c r="B3">
        <v>35</v>
      </c>
      <c r="C3">
        <v>96</v>
      </c>
      <c r="D3" s="64">
        <f>B3*C3</f>
        <v>3360</v>
      </c>
      <c r="G3" s="96"/>
      <c r="H3" s="4" t="s">
        <v>123</v>
      </c>
    </row>
    <row r="4" spans="1:16">
      <c r="A4" s="4" t="s">
        <v>72</v>
      </c>
      <c r="B4" t="s">
        <v>73</v>
      </c>
      <c r="G4" s="98"/>
      <c r="H4" s="4" t="s">
        <v>121</v>
      </c>
    </row>
    <row r="5" spans="1:16">
      <c r="A5" s="4"/>
      <c r="G5" s="99"/>
      <c r="H5" s="4" t="s">
        <v>120</v>
      </c>
    </row>
    <row r="6" spans="1:16">
      <c r="A6" s="4" t="s">
        <v>64</v>
      </c>
      <c r="B6" s="6" t="s">
        <v>77</v>
      </c>
      <c r="C6" s="8" t="s">
        <v>65</v>
      </c>
      <c r="D6" s="8" t="s">
        <v>71</v>
      </c>
      <c r="E6" s="24" t="s">
        <v>114</v>
      </c>
      <c r="F6" s="94" t="s">
        <v>88</v>
      </c>
      <c r="H6" s="4" t="s">
        <v>125</v>
      </c>
    </row>
    <row r="7" spans="1:16">
      <c r="A7" s="72">
        <v>52</v>
      </c>
      <c r="B7" s="53">
        <v>2057</v>
      </c>
      <c r="C7" s="73">
        <v>2100</v>
      </c>
      <c r="D7" s="74">
        <v>51</v>
      </c>
      <c r="E7" s="75">
        <v>0.12</v>
      </c>
      <c r="F7" s="76">
        <v>5</v>
      </c>
      <c r="G7" s="4"/>
    </row>
    <row r="8" spans="1:16">
      <c r="A8" s="15"/>
      <c r="B8" s="15"/>
      <c r="C8" s="15"/>
      <c r="D8" s="17" t="s">
        <v>2</v>
      </c>
      <c r="E8" s="71">
        <v>0</v>
      </c>
      <c r="F8" s="16">
        <v>1</v>
      </c>
      <c r="G8" s="16">
        <f>F8+1</f>
        <v>2</v>
      </c>
      <c r="H8" s="16">
        <f t="shared" ref="H8:O8" si="0">G8+1</f>
        <v>3</v>
      </c>
      <c r="I8" s="16">
        <f t="shared" si="0"/>
        <v>4</v>
      </c>
      <c r="J8" s="16">
        <f t="shared" si="0"/>
        <v>5</v>
      </c>
      <c r="K8" s="16">
        <f t="shared" si="0"/>
        <v>6</v>
      </c>
      <c r="L8" s="16">
        <f t="shared" si="0"/>
        <v>7</v>
      </c>
      <c r="M8" s="16">
        <f t="shared" si="0"/>
        <v>8</v>
      </c>
      <c r="N8" s="16">
        <f t="shared" si="0"/>
        <v>9</v>
      </c>
      <c r="O8" s="16">
        <f t="shared" si="0"/>
        <v>10</v>
      </c>
      <c r="P8" s="67" t="s">
        <v>80</v>
      </c>
    </row>
    <row r="9" spans="1:16">
      <c r="A9" s="4" t="s">
        <v>90</v>
      </c>
      <c r="B9" s="8" t="s">
        <v>89</v>
      </c>
      <c r="C9" s="8" t="s">
        <v>0</v>
      </c>
      <c r="D9" s="4" t="s">
        <v>1</v>
      </c>
    </row>
    <row r="10" spans="1:16">
      <c r="A10" s="80">
        <f>((RaftAreaSf/CycleTime)/8)*HolesperRaft*WeeksofProd</f>
        <v>139230</v>
      </c>
      <c r="B10" s="79">
        <f>((RaftAreaSf/CycleTime)/8)*HolesperRaft*WeeksofProd*ProdPerHole</f>
        <v>16707.599999999999</v>
      </c>
      <c r="C10" s="77">
        <v>8.1999999999999993</v>
      </c>
      <c r="D10" t="s">
        <v>91</v>
      </c>
      <c r="E10" s="14" t="s">
        <v>18</v>
      </c>
      <c r="F10" s="32">
        <f>$B$10*$C$10</f>
        <v>137002.31999999998</v>
      </c>
      <c r="G10" s="32">
        <f>F10*$E$16</f>
        <v>141112.38959999999</v>
      </c>
      <c r="H10" s="32">
        <f t="shared" ref="H10:O10" si="1">G10*$E$16</f>
        <v>145345.76128800001</v>
      </c>
      <c r="I10" s="32">
        <f t="shared" si="1"/>
        <v>149706.13412664001</v>
      </c>
      <c r="J10" s="32">
        <f t="shared" si="1"/>
        <v>154197.31815043921</v>
      </c>
      <c r="K10" s="32">
        <f t="shared" si="1"/>
        <v>158823.2376949524</v>
      </c>
      <c r="L10" s="32">
        <f t="shared" si="1"/>
        <v>163587.93482580097</v>
      </c>
      <c r="M10" s="32">
        <f t="shared" si="1"/>
        <v>168495.57287057501</v>
      </c>
      <c r="N10" s="32">
        <f t="shared" si="1"/>
        <v>173550.44005669226</v>
      </c>
      <c r="O10" s="32">
        <f t="shared" si="1"/>
        <v>178756.95325839304</v>
      </c>
      <c r="P10" s="68">
        <f>SUM(F10:O10)</f>
        <v>1570578.061871493</v>
      </c>
    </row>
    <row r="11" spans="1:16">
      <c r="A11" s="30"/>
      <c r="B11" s="82">
        <v>450</v>
      </c>
      <c r="C11" s="77">
        <v>2.5</v>
      </c>
      <c r="D11" s="13" t="s">
        <v>66</v>
      </c>
      <c r="E11" s="19" t="s">
        <v>19</v>
      </c>
      <c r="F11" s="32">
        <f>$B$11*C11</f>
        <v>1125</v>
      </c>
      <c r="G11" s="32">
        <f>F11*$E$16</f>
        <v>1158.75</v>
      </c>
      <c r="H11" s="32">
        <f t="shared" ref="H11:O12" si="2">G11*$E$16</f>
        <v>1193.5125</v>
      </c>
      <c r="I11" s="32">
        <f t="shared" si="2"/>
        <v>1229.3178750000002</v>
      </c>
      <c r="J11" s="32">
        <f t="shared" si="2"/>
        <v>1266.1974112500002</v>
      </c>
      <c r="K11" s="32">
        <f t="shared" si="2"/>
        <v>1304.1833335875003</v>
      </c>
      <c r="L11" s="32">
        <f t="shared" si="2"/>
        <v>1343.3088335951254</v>
      </c>
      <c r="M11" s="32">
        <f t="shared" si="2"/>
        <v>1383.6080986029792</v>
      </c>
      <c r="N11" s="32">
        <f t="shared" si="2"/>
        <v>1425.1163415610686</v>
      </c>
      <c r="O11" s="32">
        <f t="shared" si="2"/>
        <v>1467.8698318079007</v>
      </c>
      <c r="P11" s="68">
        <f>SUM(F11:O11)</f>
        <v>12896.864225404574</v>
      </c>
    </row>
    <row r="12" spans="1:16">
      <c r="A12" s="13"/>
      <c r="B12" s="100"/>
      <c r="C12" s="101">
        <v>1.1000000000000001</v>
      </c>
      <c r="D12" s="20" t="s">
        <v>92</v>
      </c>
      <c r="E12" s="19"/>
      <c r="F12" s="32">
        <f>$A$10*$C$12</f>
        <v>153153</v>
      </c>
      <c r="G12" s="32">
        <f>F12*$E$16</f>
        <v>157747.59</v>
      </c>
      <c r="H12" s="32">
        <f t="shared" si="2"/>
        <v>162480.0177</v>
      </c>
      <c r="I12" s="32">
        <f t="shared" si="2"/>
        <v>167354.41823099999</v>
      </c>
      <c r="J12" s="32">
        <f t="shared" si="2"/>
        <v>172375.05077792998</v>
      </c>
      <c r="K12" s="32">
        <f t="shared" si="2"/>
        <v>177546.30230126789</v>
      </c>
      <c r="L12" s="32">
        <f t="shared" si="2"/>
        <v>182872.69137030593</v>
      </c>
      <c r="M12" s="32">
        <f t="shared" si="2"/>
        <v>188358.87211141511</v>
      </c>
      <c r="N12" s="32">
        <f t="shared" si="2"/>
        <v>194009.63827475757</v>
      </c>
      <c r="O12" s="32">
        <f t="shared" si="2"/>
        <v>199829.92742300031</v>
      </c>
      <c r="P12" s="68">
        <f>SUM(F12:O12)</f>
        <v>1755727.5081896766</v>
      </c>
    </row>
    <row r="13" spans="1:16">
      <c r="A13" t="s">
        <v>93</v>
      </c>
      <c r="D13" s="8" t="s">
        <v>95</v>
      </c>
      <c r="E13" s="14"/>
      <c r="F13" s="33">
        <f>F10+F11</f>
        <v>138127.31999999998</v>
      </c>
      <c r="G13" s="33">
        <f>+G10+G11</f>
        <v>142271.13959999999</v>
      </c>
      <c r="H13" s="33">
        <f t="shared" ref="H13:O13" si="3">H10+H11</f>
        <v>146539.27378800002</v>
      </c>
      <c r="I13" s="33">
        <f t="shared" si="3"/>
        <v>150935.45200164002</v>
      </c>
      <c r="J13" s="33">
        <f t="shared" si="3"/>
        <v>155463.51556168922</v>
      </c>
      <c r="K13" s="33">
        <f t="shared" si="3"/>
        <v>160127.42102853992</v>
      </c>
      <c r="L13" s="33">
        <f t="shared" si="3"/>
        <v>164931.2436593961</v>
      </c>
      <c r="M13" s="33">
        <f t="shared" si="3"/>
        <v>169879.18096917798</v>
      </c>
      <c r="N13" s="33">
        <f t="shared" si="3"/>
        <v>174975.55639825333</v>
      </c>
      <c r="O13" s="33">
        <f t="shared" si="3"/>
        <v>180224.82309020095</v>
      </c>
      <c r="P13" s="68">
        <f>SUM(F13:O13)</f>
        <v>1583474.9260968976</v>
      </c>
    </row>
    <row r="14" spans="1:16">
      <c r="A14" t="s">
        <v>78</v>
      </c>
      <c r="D14" s="8" t="s">
        <v>94</v>
      </c>
      <c r="E14" s="14"/>
      <c r="F14" s="78">
        <f t="shared" ref="F14:O14" si="4">SUM(F11:F12)</f>
        <v>154278</v>
      </c>
      <c r="G14" s="78">
        <f t="shared" si="4"/>
        <v>158906.34</v>
      </c>
      <c r="H14" s="78">
        <f t="shared" si="4"/>
        <v>163673.53020000001</v>
      </c>
      <c r="I14" s="78">
        <f t="shared" si="4"/>
        <v>168583.736106</v>
      </c>
      <c r="J14" s="78">
        <f t="shared" si="4"/>
        <v>173641.24818917998</v>
      </c>
      <c r="K14" s="78">
        <f t="shared" si="4"/>
        <v>178850.4856348554</v>
      </c>
      <c r="L14" s="78">
        <f t="shared" si="4"/>
        <v>184216.00020390106</v>
      </c>
      <c r="M14" s="78">
        <f t="shared" si="4"/>
        <v>189742.48021001808</v>
      </c>
      <c r="N14" s="78">
        <f t="shared" si="4"/>
        <v>195434.75461631865</v>
      </c>
      <c r="O14" s="78">
        <f t="shared" si="4"/>
        <v>201297.79725480822</v>
      </c>
      <c r="P14" s="78">
        <f>SUM(F14:O14)</f>
        <v>1768624.3724150816</v>
      </c>
    </row>
    <row r="15" spans="1:16">
      <c r="A15" t="s">
        <v>57</v>
      </c>
    </row>
    <row r="16" spans="1:16">
      <c r="D16" s="6" t="s">
        <v>97</v>
      </c>
      <c r="E16" s="54">
        <v>1.03</v>
      </c>
    </row>
    <row r="17" spans="1:15">
      <c r="D17" s="4"/>
      <c r="E17" s="6" t="s">
        <v>53</v>
      </c>
      <c r="F17" s="6"/>
    </row>
    <row r="18" spans="1:15">
      <c r="C18" s="4" t="s">
        <v>96</v>
      </c>
      <c r="E18" s="81">
        <f>((RaftAreaSf/CycleTime)/8)*HolesperRaft*ProdPerHole</f>
        <v>321.3</v>
      </c>
      <c r="F18" s="4"/>
    </row>
    <row r="19" spans="1:15">
      <c r="A19" s="23" t="s">
        <v>3</v>
      </c>
      <c r="B19" s="18"/>
      <c r="C19" s="61" t="s">
        <v>83</v>
      </c>
      <c r="D19" s="17" t="s">
        <v>2</v>
      </c>
      <c r="E19" s="16">
        <v>0</v>
      </c>
      <c r="F19" s="16">
        <v>1</v>
      </c>
      <c r="G19" s="16">
        <f>F19+1</f>
        <v>2</v>
      </c>
      <c r="H19" s="16">
        <f t="shared" ref="H19:O19" si="5">G19+1</f>
        <v>3</v>
      </c>
      <c r="I19" s="16">
        <f t="shared" si="5"/>
        <v>4</v>
      </c>
      <c r="J19" s="16">
        <f t="shared" si="5"/>
        <v>5</v>
      </c>
      <c r="K19" s="16">
        <f t="shared" si="5"/>
        <v>6</v>
      </c>
      <c r="L19" s="16">
        <f t="shared" si="5"/>
        <v>7</v>
      </c>
      <c r="M19" s="16">
        <f t="shared" si="5"/>
        <v>8</v>
      </c>
      <c r="N19" s="16">
        <f t="shared" si="5"/>
        <v>9</v>
      </c>
      <c r="O19" s="16">
        <f t="shared" si="5"/>
        <v>10</v>
      </c>
    </row>
    <row r="20" spans="1:15">
      <c r="A20" t="s">
        <v>84</v>
      </c>
      <c r="B20" s="69">
        <f>$D$3</f>
        <v>3360</v>
      </c>
      <c r="C20" s="66">
        <f>$E$21/$B$20</f>
        <v>5.9523809523809526</v>
      </c>
      <c r="D20" t="s">
        <v>4</v>
      </c>
      <c r="E20" s="58">
        <v>0</v>
      </c>
    </row>
    <row r="21" spans="1:15">
      <c r="A21" t="s">
        <v>85</v>
      </c>
      <c r="B21" s="56">
        <v>525</v>
      </c>
      <c r="C21" s="62">
        <v>7</v>
      </c>
      <c r="D21" t="s">
        <v>82</v>
      </c>
      <c r="E21" s="83">
        <v>20000</v>
      </c>
    </row>
    <row r="22" spans="1:15">
      <c r="C22" s="25"/>
      <c r="E22" s="58"/>
    </row>
    <row r="23" spans="1:15">
      <c r="A23" s="20" t="s">
        <v>86</v>
      </c>
      <c r="B23" s="31">
        <v>45</v>
      </c>
      <c r="C23" s="62">
        <v>20</v>
      </c>
      <c r="D23" s="63" t="s">
        <v>70</v>
      </c>
      <c r="E23" s="65">
        <f>B23*C23</f>
        <v>900</v>
      </c>
    </row>
    <row r="24" spans="1:15">
      <c r="D24" t="s">
        <v>54</v>
      </c>
      <c r="E24" s="97">
        <v>1100</v>
      </c>
    </row>
    <row r="25" spans="1:15">
      <c r="D25" t="s">
        <v>98</v>
      </c>
      <c r="E25" s="70">
        <f>B21*C21</f>
        <v>3675</v>
      </c>
    </row>
    <row r="26" spans="1:15">
      <c r="A26" t="s">
        <v>52</v>
      </c>
      <c r="B26" s="55">
        <v>2057</v>
      </c>
      <c r="D26" t="s">
        <v>5</v>
      </c>
      <c r="E26" s="70">
        <v>750</v>
      </c>
    </row>
    <row r="27" spans="1:15">
      <c r="D27" t="s">
        <v>6</v>
      </c>
      <c r="E27" s="70">
        <v>1000</v>
      </c>
    </row>
    <row r="28" spans="1:15">
      <c r="D28" t="s">
        <v>99</v>
      </c>
      <c r="E28" s="70">
        <v>1200</v>
      </c>
    </row>
    <row r="29" spans="1:15">
      <c r="D29" t="s">
        <v>87</v>
      </c>
      <c r="E29" s="70">
        <v>450</v>
      </c>
    </row>
    <row r="30" spans="1:15">
      <c r="B30" s="2"/>
      <c r="D30" t="s">
        <v>62</v>
      </c>
      <c r="E30" s="70">
        <f>B21*4*0.98</f>
        <v>2058</v>
      </c>
    </row>
    <row r="31" spans="1:15">
      <c r="D31" t="s">
        <v>63</v>
      </c>
      <c r="E31" s="59">
        <v>5000</v>
      </c>
    </row>
    <row r="32" spans="1:15">
      <c r="A32" t="s">
        <v>60</v>
      </c>
      <c r="B32" s="43">
        <f>SUM(E24:E31)/$B$20</f>
        <v>4.5336309523809524</v>
      </c>
      <c r="D32" s="3" t="s">
        <v>7</v>
      </c>
      <c r="E32" s="35">
        <f>SUM(E20:E31)</f>
        <v>36133</v>
      </c>
      <c r="F32" s="1"/>
      <c r="G32" s="1"/>
      <c r="H32" s="1"/>
      <c r="I32" s="1"/>
      <c r="J32" s="1"/>
      <c r="K32" s="1"/>
      <c r="L32" s="1"/>
      <c r="M32" s="1"/>
      <c r="N32" s="1"/>
      <c r="O32" s="1"/>
    </row>
    <row r="35" spans="1:16">
      <c r="D35" t="s">
        <v>67</v>
      </c>
      <c r="E35" s="58">
        <v>22000</v>
      </c>
    </row>
    <row r="36" spans="1:16">
      <c r="D36" t="s">
        <v>61</v>
      </c>
      <c r="E36" s="58">
        <v>50</v>
      </c>
    </row>
    <row r="37" spans="1:16">
      <c r="D37" t="s">
        <v>68</v>
      </c>
      <c r="E37" s="58">
        <v>400</v>
      </c>
    </row>
    <row r="38" spans="1:16">
      <c r="D38" t="s">
        <v>69</v>
      </c>
      <c r="E38" s="58">
        <v>4000</v>
      </c>
    </row>
    <row r="39" spans="1:16">
      <c r="D39" t="s">
        <v>100</v>
      </c>
      <c r="E39" s="58">
        <v>1500</v>
      </c>
    </row>
    <row r="40" spans="1:16">
      <c r="D40" t="s">
        <v>101</v>
      </c>
      <c r="E40" s="57">
        <v>2200</v>
      </c>
    </row>
    <row r="41" spans="1:16">
      <c r="D41" s="5" t="s">
        <v>8</v>
      </c>
      <c r="E41" s="36">
        <f>SUM(E35:E40)</f>
        <v>30150</v>
      </c>
    </row>
    <row r="42" spans="1:16" ht="14.25" customHeight="1">
      <c r="A42" t="s">
        <v>59</v>
      </c>
      <c r="B42" s="42">
        <f>SUM(E35:E40)/$B$20</f>
        <v>8.9732142857142865</v>
      </c>
      <c r="D42" s="3" t="s">
        <v>9</v>
      </c>
      <c r="E42" s="35">
        <f>E41+E32</f>
        <v>66283</v>
      </c>
      <c r="F42" s="1"/>
      <c r="G42" s="1"/>
      <c r="H42" s="1"/>
      <c r="I42" s="1"/>
      <c r="J42" s="1"/>
      <c r="K42" s="1"/>
      <c r="L42" s="1"/>
      <c r="M42" s="1"/>
      <c r="N42" s="1"/>
      <c r="O42" s="1"/>
    </row>
    <row r="44" spans="1:16">
      <c r="A44" t="s">
        <v>58</v>
      </c>
      <c r="B44" s="42">
        <f>SUM($E$21+$E$32+$E$41)/$B$20</f>
        <v>25.679464285714285</v>
      </c>
      <c r="E44" s="26">
        <f>(E42+E21)/B20</f>
        <v>25.679464285714285</v>
      </c>
    </row>
    <row r="46" spans="1:16">
      <c r="A46" s="23" t="s">
        <v>10</v>
      </c>
      <c r="B46" s="18"/>
      <c r="C46" s="18"/>
      <c r="D46" s="17" t="s">
        <v>2</v>
      </c>
      <c r="E46" s="16">
        <v>0</v>
      </c>
      <c r="F46" s="16">
        <v>1</v>
      </c>
      <c r="G46" s="16">
        <f>F46+1</f>
        <v>2</v>
      </c>
      <c r="H46" s="16">
        <f t="shared" ref="H46:O46" si="6">G46+1</f>
        <v>3</v>
      </c>
      <c r="I46" s="16">
        <f t="shared" si="6"/>
        <v>4</v>
      </c>
      <c r="J46" s="16">
        <f t="shared" si="6"/>
        <v>5</v>
      </c>
      <c r="K46" s="16">
        <f t="shared" si="6"/>
        <v>6</v>
      </c>
      <c r="L46" s="16">
        <f t="shared" si="6"/>
        <v>7</v>
      </c>
      <c r="M46" s="16">
        <f t="shared" si="6"/>
        <v>8</v>
      </c>
      <c r="N46" s="16">
        <f t="shared" si="6"/>
        <v>9</v>
      </c>
      <c r="O46" s="16">
        <f t="shared" si="6"/>
        <v>10</v>
      </c>
    </row>
    <row r="47" spans="1:16" ht="30">
      <c r="E47" s="9" t="s">
        <v>13</v>
      </c>
    </row>
    <row r="48" spans="1:16">
      <c r="D48" t="s">
        <v>24</v>
      </c>
      <c r="E48" s="38">
        <f>F48/$F$65</f>
        <v>0.57291268810633267</v>
      </c>
      <c r="F48" s="70">
        <v>31200</v>
      </c>
      <c r="G48" s="45">
        <f>F48*(1+$E$69)</f>
        <v>34320</v>
      </c>
      <c r="H48" s="45">
        <f t="shared" ref="H48:O48" si="7">G48*(1+$E$68)</f>
        <v>35349.599999999999</v>
      </c>
      <c r="I48" s="45">
        <f t="shared" si="7"/>
        <v>36410.087999999996</v>
      </c>
      <c r="J48" s="45">
        <f t="shared" si="7"/>
        <v>37502.390639999998</v>
      </c>
      <c r="K48" s="45">
        <f t="shared" si="7"/>
        <v>38627.462359199999</v>
      </c>
      <c r="L48" s="45">
        <f t="shared" si="7"/>
        <v>39786.286229976002</v>
      </c>
      <c r="M48" s="45">
        <f t="shared" si="7"/>
        <v>40979.874816875286</v>
      </c>
      <c r="N48" s="45">
        <f t="shared" si="7"/>
        <v>42209.271061381543</v>
      </c>
      <c r="O48" s="45">
        <f t="shared" si="7"/>
        <v>43475.549193222992</v>
      </c>
      <c r="P48" s="11"/>
    </row>
    <row r="49" spans="1:16">
      <c r="A49" s="4" t="s">
        <v>115</v>
      </c>
      <c r="B49" s="93">
        <v>0.12</v>
      </c>
      <c r="C49" s="2">
        <v>5606</v>
      </c>
      <c r="D49" t="s">
        <v>22</v>
      </c>
      <c r="E49" s="38">
        <f t="shared" ref="E49:E65" si="8">F49/$F$65</f>
        <v>1.235287895970808E-2</v>
      </c>
      <c r="F49" s="70">
        <f>(B49*C49)</f>
        <v>672.72</v>
      </c>
      <c r="G49" s="45">
        <f>F49*(1+$E$69)</f>
        <v>739.99200000000008</v>
      </c>
      <c r="H49" s="45">
        <f t="shared" ref="H49:O49" si="9">G49*(1+$E$69)</f>
        <v>813.99120000000016</v>
      </c>
      <c r="I49" s="45">
        <f t="shared" si="9"/>
        <v>895.3903200000002</v>
      </c>
      <c r="J49" s="45">
        <f t="shared" si="9"/>
        <v>984.92935200000034</v>
      </c>
      <c r="K49" s="45">
        <f t="shared" si="9"/>
        <v>1083.4222872000005</v>
      </c>
      <c r="L49" s="45">
        <f t="shared" si="9"/>
        <v>1191.7645159200006</v>
      </c>
      <c r="M49" s="45">
        <f t="shared" si="9"/>
        <v>1310.9409675120007</v>
      </c>
      <c r="N49" s="45">
        <f t="shared" si="9"/>
        <v>1442.0350642632009</v>
      </c>
      <c r="O49" s="45">
        <f t="shared" si="9"/>
        <v>1586.2385706895211</v>
      </c>
    </row>
    <row r="50" spans="1:16">
      <c r="A50" s="4" t="s">
        <v>116</v>
      </c>
      <c r="B50" s="93">
        <v>0.12</v>
      </c>
      <c r="C50" s="2">
        <v>1382</v>
      </c>
      <c r="D50" t="s">
        <v>56</v>
      </c>
      <c r="E50" s="38">
        <f t="shared" si="8"/>
        <v>3.045251288319045E-3</v>
      </c>
      <c r="F50" s="70">
        <f>(B50*C50)</f>
        <v>165.84</v>
      </c>
      <c r="G50" s="45">
        <f>F50*(1+$E$69)</f>
        <v>182.42400000000001</v>
      </c>
      <c r="H50" s="45">
        <f t="shared" ref="H50:O50" si="10">G50*(1+$E$69)</f>
        <v>200.66640000000001</v>
      </c>
      <c r="I50" s="45">
        <f t="shared" si="10"/>
        <v>220.73304000000002</v>
      </c>
      <c r="J50" s="45">
        <f t="shared" si="10"/>
        <v>242.80634400000002</v>
      </c>
      <c r="K50" s="45">
        <f t="shared" si="10"/>
        <v>267.08697840000002</v>
      </c>
      <c r="L50" s="45">
        <f t="shared" si="10"/>
        <v>293.79567624000003</v>
      </c>
      <c r="M50" s="45">
        <f t="shared" si="10"/>
        <v>323.17524386400004</v>
      </c>
      <c r="N50" s="45">
        <f t="shared" si="10"/>
        <v>355.49276825040005</v>
      </c>
      <c r="O50" s="45">
        <f t="shared" si="10"/>
        <v>391.04204507544006</v>
      </c>
    </row>
    <row r="51" spans="1:16">
      <c r="D51" t="s">
        <v>23</v>
      </c>
      <c r="E51" s="38">
        <f t="shared" si="8"/>
        <v>2.1116974080842389E-2</v>
      </c>
      <c r="F51" s="58">
        <v>1150</v>
      </c>
      <c r="G51" s="45">
        <f t="shared" ref="G51:O51" si="11">F51*(1+$E$69)</f>
        <v>1265</v>
      </c>
      <c r="H51" s="45">
        <f t="shared" si="11"/>
        <v>1391.5</v>
      </c>
      <c r="I51" s="45">
        <f t="shared" si="11"/>
        <v>1530.65</v>
      </c>
      <c r="J51" s="45">
        <f t="shared" si="11"/>
        <v>1683.7150000000001</v>
      </c>
      <c r="K51" s="45">
        <f t="shared" si="11"/>
        <v>1852.0865000000003</v>
      </c>
      <c r="L51" s="45">
        <f t="shared" si="11"/>
        <v>2037.2951500000006</v>
      </c>
      <c r="M51" s="45">
        <f t="shared" si="11"/>
        <v>2241.0246650000008</v>
      </c>
      <c r="N51" s="45">
        <f t="shared" si="11"/>
        <v>2465.1271315000013</v>
      </c>
      <c r="O51" s="45">
        <f t="shared" si="11"/>
        <v>2711.6398446500016</v>
      </c>
      <c r="P51" s="11"/>
    </row>
    <row r="52" spans="1:16">
      <c r="D52" t="s">
        <v>55</v>
      </c>
      <c r="E52" s="38">
        <f t="shared" si="8"/>
        <v>1.5608198233666113E-2</v>
      </c>
      <c r="F52" s="58">
        <v>850</v>
      </c>
      <c r="G52" s="45">
        <f t="shared" ref="G52:O52" si="12">F52*(1+$E$69)</f>
        <v>935.00000000000011</v>
      </c>
      <c r="H52" s="45">
        <f t="shared" si="12"/>
        <v>1028.5000000000002</v>
      </c>
      <c r="I52" s="45">
        <f t="shared" si="12"/>
        <v>1131.3500000000004</v>
      </c>
      <c r="J52" s="45">
        <f t="shared" si="12"/>
        <v>1244.4850000000006</v>
      </c>
      <c r="K52" s="45">
        <f t="shared" si="12"/>
        <v>1368.9335000000008</v>
      </c>
      <c r="L52" s="45">
        <f t="shared" si="12"/>
        <v>1505.8268500000011</v>
      </c>
      <c r="M52" s="45">
        <f t="shared" si="12"/>
        <v>1656.4095350000014</v>
      </c>
      <c r="N52" s="45">
        <f t="shared" si="12"/>
        <v>1822.0504885000016</v>
      </c>
      <c r="O52" s="45">
        <f t="shared" si="12"/>
        <v>2004.255537350002</v>
      </c>
      <c r="P52" s="11"/>
    </row>
    <row r="53" spans="1:16">
      <c r="D53" t="s">
        <v>25</v>
      </c>
      <c r="E53" s="38">
        <f t="shared" si="8"/>
        <v>5.5087758471762749E-3</v>
      </c>
      <c r="F53" s="58">
        <v>300</v>
      </c>
      <c r="G53" s="45">
        <f t="shared" ref="G53:O53" si="13">F53*(1+$E$68)</f>
        <v>309</v>
      </c>
      <c r="H53" s="45">
        <f t="shared" si="13"/>
        <v>318.27</v>
      </c>
      <c r="I53" s="45">
        <f t="shared" si="13"/>
        <v>327.81810000000002</v>
      </c>
      <c r="J53" s="45">
        <f t="shared" si="13"/>
        <v>337.65264300000001</v>
      </c>
      <c r="K53" s="45">
        <f t="shared" si="13"/>
        <v>347.78222228999999</v>
      </c>
      <c r="L53" s="45">
        <f t="shared" si="13"/>
        <v>358.21568895870001</v>
      </c>
      <c r="M53" s="45">
        <f t="shared" si="13"/>
        <v>368.96215962746101</v>
      </c>
      <c r="N53" s="45">
        <f t="shared" si="13"/>
        <v>380.03102441628482</v>
      </c>
      <c r="O53" s="45">
        <f t="shared" si="13"/>
        <v>391.4319551487734</v>
      </c>
    </row>
    <row r="54" spans="1:16">
      <c r="A54" s="4" t="s">
        <v>117</v>
      </c>
      <c r="B54" s="93">
        <v>0.67</v>
      </c>
      <c r="D54" s="40" t="s">
        <v>26</v>
      </c>
      <c r="E54" s="38">
        <f t="shared" si="8"/>
        <v>1.6526327541528826E-2</v>
      </c>
      <c r="F54" s="70">
        <f>(B11*2)</f>
        <v>900</v>
      </c>
      <c r="G54" s="45">
        <f t="shared" ref="G54:O54" si="14">F54*(1+$E$68)</f>
        <v>927</v>
      </c>
      <c r="H54" s="45">
        <f t="shared" si="14"/>
        <v>954.81000000000006</v>
      </c>
      <c r="I54" s="45">
        <f t="shared" si="14"/>
        <v>983.4543000000001</v>
      </c>
      <c r="J54" s="45">
        <f t="shared" si="14"/>
        <v>1012.9579290000001</v>
      </c>
      <c r="K54" s="45">
        <f t="shared" si="14"/>
        <v>1043.3466668700003</v>
      </c>
      <c r="L54" s="45">
        <f t="shared" si="14"/>
        <v>1074.6470668761003</v>
      </c>
      <c r="M54" s="45">
        <f t="shared" si="14"/>
        <v>1106.8864788823835</v>
      </c>
      <c r="N54" s="45">
        <f t="shared" si="14"/>
        <v>1140.093073248855</v>
      </c>
      <c r="O54" s="45">
        <f t="shared" si="14"/>
        <v>1174.2958654463207</v>
      </c>
    </row>
    <row r="55" spans="1:16">
      <c r="D55" t="s">
        <v>27</v>
      </c>
      <c r="E55" s="38">
        <f t="shared" si="8"/>
        <v>2.20351033887051E-2</v>
      </c>
      <c r="F55" s="70">
        <v>1200</v>
      </c>
      <c r="G55" s="45">
        <f t="shared" ref="G55:O55" si="15">F55*(1+$E$68)</f>
        <v>1236</v>
      </c>
      <c r="H55" s="45">
        <f t="shared" si="15"/>
        <v>1273.08</v>
      </c>
      <c r="I55" s="45">
        <f t="shared" si="15"/>
        <v>1311.2724000000001</v>
      </c>
      <c r="J55" s="45">
        <f t="shared" si="15"/>
        <v>1350.610572</v>
      </c>
      <c r="K55" s="45">
        <f t="shared" si="15"/>
        <v>1391.12888916</v>
      </c>
      <c r="L55" s="45">
        <f t="shared" si="15"/>
        <v>1432.8627558348001</v>
      </c>
      <c r="M55" s="45">
        <f t="shared" si="15"/>
        <v>1475.848638509844</v>
      </c>
      <c r="N55" s="45">
        <f t="shared" si="15"/>
        <v>1520.1240976651393</v>
      </c>
      <c r="O55" s="45">
        <f t="shared" si="15"/>
        <v>1565.7278205950936</v>
      </c>
    </row>
    <row r="56" spans="1:16">
      <c r="A56" t="s">
        <v>51</v>
      </c>
      <c r="B56" s="41">
        <f>40/128</f>
        <v>0.3125</v>
      </c>
      <c r="D56" s="40" t="s">
        <v>28</v>
      </c>
      <c r="E56" s="38">
        <f t="shared" si="8"/>
        <v>1.0099422386489839E-2</v>
      </c>
      <c r="F56" s="70">
        <v>550</v>
      </c>
      <c r="G56" s="45">
        <f t="shared" ref="G56:O56" si="16">F56*(1+$E$68)</f>
        <v>566.5</v>
      </c>
      <c r="H56" s="45">
        <f t="shared" si="16"/>
        <v>583.495</v>
      </c>
      <c r="I56" s="45">
        <f t="shared" si="16"/>
        <v>600.99985000000004</v>
      </c>
      <c r="J56" s="45">
        <f t="shared" si="16"/>
        <v>619.02984550000008</v>
      </c>
      <c r="K56" s="45">
        <f t="shared" si="16"/>
        <v>637.60074086500015</v>
      </c>
      <c r="L56" s="45">
        <f t="shared" si="16"/>
        <v>656.72876309095022</v>
      </c>
      <c r="M56" s="45">
        <f t="shared" si="16"/>
        <v>676.43062598367874</v>
      </c>
      <c r="N56" s="45">
        <f t="shared" si="16"/>
        <v>696.72354476318912</v>
      </c>
      <c r="O56" s="45">
        <f t="shared" si="16"/>
        <v>717.62525110608476</v>
      </c>
    </row>
    <row r="57" spans="1:16">
      <c r="D57" t="s">
        <v>29</v>
      </c>
      <c r="E57" s="38">
        <f t="shared" si="8"/>
        <v>9.1812930786271257E-2</v>
      </c>
      <c r="F57" s="58">
        <v>5000</v>
      </c>
      <c r="G57" s="45">
        <f t="shared" ref="G57:O57" si="17">F57*(1+$E$68)</f>
        <v>5150</v>
      </c>
      <c r="H57" s="45">
        <f t="shared" si="17"/>
        <v>5304.5</v>
      </c>
      <c r="I57" s="45">
        <f t="shared" si="17"/>
        <v>5463.6350000000002</v>
      </c>
      <c r="J57" s="45">
        <f t="shared" si="17"/>
        <v>5627.5440500000004</v>
      </c>
      <c r="K57" s="45">
        <f t="shared" si="17"/>
        <v>5796.3703715000001</v>
      </c>
      <c r="L57" s="45">
        <f t="shared" si="17"/>
        <v>5970.2614826449999</v>
      </c>
      <c r="M57" s="45">
        <f t="shared" si="17"/>
        <v>6149.3693271243501</v>
      </c>
      <c r="N57" s="45">
        <f t="shared" si="17"/>
        <v>6333.8504069380806</v>
      </c>
      <c r="O57" s="45">
        <f t="shared" si="17"/>
        <v>6523.865919146223</v>
      </c>
    </row>
    <row r="58" spans="1:16">
      <c r="D58" t="s">
        <v>30</v>
      </c>
      <c r="E58" s="38">
        <f t="shared" si="8"/>
        <v>5.5087758471762754E-2</v>
      </c>
      <c r="F58" s="58">
        <v>3000</v>
      </c>
      <c r="G58" s="45">
        <f t="shared" ref="G58:O58" si="18">F58*(1+$E$68)</f>
        <v>3090</v>
      </c>
      <c r="H58" s="45">
        <f t="shared" si="18"/>
        <v>3182.7000000000003</v>
      </c>
      <c r="I58" s="45">
        <f t="shared" si="18"/>
        <v>3278.1810000000005</v>
      </c>
      <c r="J58" s="45">
        <f t="shared" si="18"/>
        <v>3376.5264300000008</v>
      </c>
      <c r="K58" s="45">
        <f t="shared" si="18"/>
        <v>3477.8222229000007</v>
      </c>
      <c r="L58" s="45">
        <f t="shared" si="18"/>
        <v>3582.1568895870009</v>
      </c>
      <c r="M58" s="45">
        <f t="shared" si="18"/>
        <v>3689.621596274611</v>
      </c>
      <c r="N58" s="45">
        <f t="shared" si="18"/>
        <v>3800.3102441628494</v>
      </c>
      <c r="O58" s="45">
        <f t="shared" si="18"/>
        <v>3914.3195514877348</v>
      </c>
    </row>
    <row r="59" spans="1:16">
      <c r="D59" t="s">
        <v>31</v>
      </c>
      <c r="E59" s="38">
        <f t="shared" si="8"/>
        <v>7.3450344629017006E-2</v>
      </c>
      <c r="F59" s="58">
        <v>4000</v>
      </c>
      <c r="G59" s="45">
        <f t="shared" ref="G59:O59" si="19">F59*(1+$E$68)</f>
        <v>4120</v>
      </c>
      <c r="H59" s="45">
        <f t="shared" si="19"/>
        <v>4243.6000000000004</v>
      </c>
      <c r="I59" s="45">
        <f t="shared" si="19"/>
        <v>4370.9080000000004</v>
      </c>
      <c r="J59" s="45">
        <f t="shared" si="19"/>
        <v>4502.0352400000002</v>
      </c>
      <c r="K59" s="45">
        <f t="shared" si="19"/>
        <v>4637.0962972000007</v>
      </c>
      <c r="L59" s="45">
        <f t="shared" si="19"/>
        <v>4776.2091861160006</v>
      </c>
      <c r="M59" s="45">
        <f t="shared" si="19"/>
        <v>4919.495461699481</v>
      </c>
      <c r="N59" s="45">
        <f t="shared" si="19"/>
        <v>5067.0803255504652</v>
      </c>
      <c r="O59" s="45">
        <f t="shared" si="19"/>
        <v>5219.0927353169791</v>
      </c>
    </row>
    <row r="60" spans="1:16">
      <c r="D60" t="s">
        <v>32</v>
      </c>
      <c r="E60" s="38">
        <f t="shared" si="8"/>
        <v>6.4269051550389878E-3</v>
      </c>
      <c r="F60" s="58">
        <v>350</v>
      </c>
      <c r="G60" s="45">
        <f t="shared" ref="G60:O60" si="20">F60*(1+$E$68)</f>
        <v>360.5</v>
      </c>
      <c r="H60" s="45">
        <f t="shared" si="20"/>
        <v>371.315</v>
      </c>
      <c r="I60" s="45">
        <f t="shared" si="20"/>
        <v>382.45445000000001</v>
      </c>
      <c r="J60" s="45">
        <f t="shared" si="20"/>
        <v>393.92808350000001</v>
      </c>
      <c r="K60" s="45">
        <f t="shared" si="20"/>
        <v>405.745926005</v>
      </c>
      <c r="L60" s="45">
        <f t="shared" si="20"/>
        <v>417.91830378514999</v>
      </c>
      <c r="M60" s="45">
        <f t="shared" si="20"/>
        <v>430.45585289870451</v>
      </c>
      <c r="N60" s="45">
        <f t="shared" si="20"/>
        <v>443.36952848566563</v>
      </c>
      <c r="O60" s="45">
        <f t="shared" si="20"/>
        <v>456.6706143402356</v>
      </c>
    </row>
    <row r="61" spans="1:16">
      <c r="D61" t="s">
        <v>33</v>
      </c>
      <c r="E61" s="38">
        <f t="shared" si="8"/>
        <v>3.6725172314508503E-2</v>
      </c>
      <c r="F61" s="58">
        <v>2000</v>
      </c>
      <c r="G61" s="45">
        <f t="shared" ref="G61:O61" si="21">F61*(1+$E$68)</f>
        <v>2060</v>
      </c>
      <c r="H61" s="45">
        <f t="shared" si="21"/>
        <v>2121.8000000000002</v>
      </c>
      <c r="I61" s="45">
        <f t="shared" si="21"/>
        <v>2185.4540000000002</v>
      </c>
      <c r="J61" s="45">
        <f t="shared" si="21"/>
        <v>2251.0176200000001</v>
      </c>
      <c r="K61" s="45">
        <f t="shared" si="21"/>
        <v>2318.5481486000003</v>
      </c>
      <c r="L61" s="45">
        <f t="shared" si="21"/>
        <v>2388.1045930580003</v>
      </c>
      <c r="M61" s="45">
        <f t="shared" si="21"/>
        <v>2459.7477308497405</v>
      </c>
      <c r="N61" s="45">
        <f t="shared" si="21"/>
        <v>2533.5401627752326</v>
      </c>
      <c r="O61" s="45">
        <f t="shared" si="21"/>
        <v>2609.5463676584895</v>
      </c>
    </row>
    <row r="62" spans="1:16">
      <c r="D62" t="s">
        <v>34</v>
      </c>
      <c r="E62" s="38">
        <f t="shared" si="8"/>
        <v>3.6725172314508503E-2</v>
      </c>
      <c r="F62" s="58">
        <v>2000</v>
      </c>
      <c r="G62" s="45">
        <f t="shared" ref="G62:O62" si="22">F62*(1+$E$68)</f>
        <v>2060</v>
      </c>
      <c r="H62" s="45">
        <f t="shared" si="22"/>
        <v>2121.8000000000002</v>
      </c>
      <c r="I62" s="45">
        <f t="shared" si="22"/>
        <v>2185.4540000000002</v>
      </c>
      <c r="J62" s="45">
        <f t="shared" si="22"/>
        <v>2251.0176200000001</v>
      </c>
      <c r="K62" s="45">
        <f t="shared" si="22"/>
        <v>2318.5481486000003</v>
      </c>
      <c r="L62" s="45">
        <f t="shared" si="22"/>
        <v>2388.1045930580003</v>
      </c>
      <c r="M62" s="45">
        <f t="shared" si="22"/>
        <v>2459.7477308497405</v>
      </c>
      <c r="N62" s="45">
        <f t="shared" si="22"/>
        <v>2533.5401627752326</v>
      </c>
      <c r="O62" s="45">
        <f t="shared" si="22"/>
        <v>2609.5463676584895</v>
      </c>
    </row>
    <row r="63" spans="1:16">
      <c r="D63" t="s">
        <v>35</v>
      </c>
      <c r="E63" s="38">
        <f t="shared" si="8"/>
        <v>1.322106203322306E-2</v>
      </c>
      <c r="F63" s="58">
        <v>720</v>
      </c>
      <c r="G63" s="45">
        <f t="shared" ref="G63:O63" si="23">F63*(1+$E$68)</f>
        <v>741.6</v>
      </c>
      <c r="H63" s="45">
        <f t="shared" si="23"/>
        <v>763.84800000000007</v>
      </c>
      <c r="I63" s="45">
        <f t="shared" si="23"/>
        <v>786.76344000000006</v>
      </c>
      <c r="J63" s="45">
        <f t="shared" si="23"/>
        <v>810.36634320000007</v>
      </c>
      <c r="K63" s="45">
        <f t="shared" si="23"/>
        <v>834.67733349600007</v>
      </c>
      <c r="L63" s="45">
        <f t="shared" si="23"/>
        <v>859.71765350088015</v>
      </c>
      <c r="M63" s="45">
        <f t="shared" si="23"/>
        <v>885.50918310590657</v>
      </c>
      <c r="N63" s="45">
        <f t="shared" si="23"/>
        <v>912.07445859908375</v>
      </c>
      <c r="O63" s="45">
        <f t="shared" si="23"/>
        <v>939.43669235705624</v>
      </c>
    </row>
    <row r="64" spans="1:16">
      <c r="D64" t="s">
        <v>36</v>
      </c>
      <c r="E64" s="38">
        <f t="shared" si="8"/>
        <v>7.3450344629016999E-3</v>
      </c>
      <c r="F64" s="58">
        <v>400</v>
      </c>
      <c r="G64" s="45">
        <f t="shared" ref="G64:O64" si="24">F64*(1+$E$68)</f>
        <v>412</v>
      </c>
      <c r="H64" s="45">
        <f t="shared" si="24"/>
        <v>424.36</v>
      </c>
      <c r="I64" s="45">
        <f t="shared" si="24"/>
        <v>437.0908</v>
      </c>
      <c r="J64" s="45">
        <f t="shared" si="24"/>
        <v>450.20352400000002</v>
      </c>
      <c r="K64" s="45">
        <f t="shared" si="24"/>
        <v>463.70962972000001</v>
      </c>
      <c r="L64" s="45">
        <f t="shared" si="24"/>
        <v>477.62091861160002</v>
      </c>
      <c r="M64" s="45">
        <f t="shared" si="24"/>
        <v>491.94954616994801</v>
      </c>
      <c r="N64" s="45">
        <f t="shared" si="24"/>
        <v>506.70803255504649</v>
      </c>
      <c r="O64" s="45">
        <f t="shared" si="24"/>
        <v>521.90927353169786</v>
      </c>
    </row>
    <row r="65" spans="1:16">
      <c r="D65" s="7" t="s">
        <v>11</v>
      </c>
      <c r="E65" s="39">
        <f t="shared" si="8"/>
        <v>1</v>
      </c>
      <c r="F65" s="57">
        <f>SUM(F48:F64)</f>
        <v>54458.559999999998</v>
      </c>
      <c r="G65" s="49">
        <f t="shared" ref="G65:O65" si="25">SUM(G48:G64)</f>
        <v>58475.015999999996</v>
      </c>
      <c r="H65" s="49">
        <f t="shared" si="25"/>
        <v>60447.835599999999</v>
      </c>
      <c r="I65" s="49">
        <f t="shared" si="25"/>
        <v>62501.696699999986</v>
      </c>
      <c r="J65" s="49">
        <f t="shared" si="25"/>
        <v>64641.216236200002</v>
      </c>
      <c r="K65" s="49">
        <f t="shared" si="25"/>
        <v>66871.368222006</v>
      </c>
      <c r="L65" s="49">
        <f t="shared" si="25"/>
        <v>69197.516317258182</v>
      </c>
      <c r="M65" s="49">
        <f t="shared" si="25"/>
        <v>71625.449560227164</v>
      </c>
      <c r="N65" s="49">
        <f t="shared" si="25"/>
        <v>74161.421575830274</v>
      </c>
      <c r="O65" s="49">
        <f t="shared" si="25"/>
        <v>76812.193604781147</v>
      </c>
      <c r="P65" s="13"/>
    </row>
    <row r="66" spans="1:16">
      <c r="D66" s="8" t="s">
        <v>12</v>
      </c>
      <c r="F66" s="34">
        <f>F65</f>
        <v>54458.559999999998</v>
      </c>
      <c r="G66" s="37">
        <f t="shared" ref="G66:O66" si="26">G65</f>
        <v>58475.015999999996</v>
      </c>
      <c r="H66" s="37">
        <f t="shared" si="26"/>
        <v>60447.835599999999</v>
      </c>
      <c r="I66" s="37">
        <f t="shared" si="26"/>
        <v>62501.696699999986</v>
      </c>
      <c r="J66" s="37">
        <f t="shared" si="26"/>
        <v>64641.216236200002</v>
      </c>
      <c r="K66" s="37">
        <f t="shared" si="26"/>
        <v>66871.368222006</v>
      </c>
      <c r="L66" s="37">
        <f t="shared" si="26"/>
        <v>69197.516317258182</v>
      </c>
      <c r="M66" s="37">
        <f t="shared" si="26"/>
        <v>71625.449560227164</v>
      </c>
      <c r="N66" s="37">
        <f t="shared" si="26"/>
        <v>74161.421575830274</v>
      </c>
      <c r="O66" s="37">
        <f t="shared" si="26"/>
        <v>76812.193604781147</v>
      </c>
    </row>
    <row r="67" spans="1:16">
      <c r="D67" t="s">
        <v>112</v>
      </c>
    </row>
    <row r="68" spans="1:16">
      <c r="D68" t="s">
        <v>20</v>
      </c>
      <c r="E68" s="56">
        <v>0.03</v>
      </c>
    </row>
    <row r="69" spans="1:16">
      <c r="D69" t="s">
        <v>21</v>
      </c>
      <c r="E69" s="60">
        <v>0.1</v>
      </c>
    </row>
    <row r="72" spans="1:16">
      <c r="A72" s="23" t="s">
        <v>14</v>
      </c>
      <c r="B72" s="18"/>
      <c r="C72" s="18"/>
      <c r="D72" s="17" t="s">
        <v>2</v>
      </c>
      <c r="E72" s="16">
        <v>0</v>
      </c>
      <c r="F72" s="16">
        <v>1</v>
      </c>
      <c r="G72" s="16">
        <f>F72+1</f>
        <v>2</v>
      </c>
      <c r="H72" s="16">
        <f t="shared" ref="H72:O72" si="27">G72+1</f>
        <v>3</v>
      </c>
      <c r="I72" s="16">
        <f t="shared" si="27"/>
        <v>4</v>
      </c>
      <c r="J72" s="16">
        <f t="shared" si="27"/>
        <v>5</v>
      </c>
      <c r="K72" s="16">
        <f t="shared" si="27"/>
        <v>6</v>
      </c>
      <c r="L72" s="16">
        <f t="shared" si="27"/>
        <v>7</v>
      </c>
      <c r="M72" s="16">
        <f t="shared" si="27"/>
        <v>8</v>
      </c>
      <c r="N72" s="16">
        <f t="shared" si="27"/>
        <v>9</v>
      </c>
      <c r="O72" s="16">
        <f t="shared" si="27"/>
        <v>10</v>
      </c>
    </row>
    <row r="73" spans="1:16">
      <c r="A73" s="6" t="s">
        <v>37</v>
      </c>
      <c r="D73" s="6" t="s">
        <v>104</v>
      </c>
      <c r="F73" s="45">
        <f t="shared" ref="F73:O73" si="28">F14</f>
        <v>154278</v>
      </c>
      <c r="G73" s="45">
        <f t="shared" si="28"/>
        <v>158906.34</v>
      </c>
      <c r="H73" s="45">
        <f t="shared" si="28"/>
        <v>163673.53020000001</v>
      </c>
      <c r="I73" s="45">
        <f t="shared" si="28"/>
        <v>168583.736106</v>
      </c>
      <c r="J73" s="45">
        <f t="shared" si="28"/>
        <v>173641.24818917998</v>
      </c>
      <c r="K73" s="45">
        <f t="shared" si="28"/>
        <v>178850.4856348554</v>
      </c>
      <c r="L73" s="45">
        <f t="shared" si="28"/>
        <v>184216.00020390106</v>
      </c>
      <c r="M73" s="45">
        <f t="shared" si="28"/>
        <v>189742.48021001808</v>
      </c>
      <c r="N73" s="45">
        <f t="shared" si="28"/>
        <v>195434.75461631865</v>
      </c>
      <c r="O73" s="45">
        <f t="shared" si="28"/>
        <v>201297.79725480822</v>
      </c>
    </row>
    <row r="74" spans="1:16">
      <c r="A74" s="6" t="s">
        <v>38</v>
      </c>
      <c r="C74" t="s">
        <v>15</v>
      </c>
      <c r="D74" s="6" t="s">
        <v>16</v>
      </c>
      <c r="F74" s="46">
        <f>(-F66)</f>
        <v>-54458.559999999998</v>
      </c>
      <c r="G74" s="46">
        <f t="shared" ref="G74:O74" si="29">(-G66)</f>
        <v>-58475.015999999996</v>
      </c>
      <c r="H74" s="46">
        <f t="shared" si="29"/>
        <v>-60447.835599999999</v>
      </c>
      <c r="I74" s="46">
        <f t="shared" si="29"/>
        <v>-62501.696699999986</v>
      </c>
      <c r="J74" s="46">
        <f t="shared" si="29"/>
        <v>-64641.216236200002</v>
      </c>
      <c r="K74" s="46">
        <f t="shared" si="29"/>
        <v>-66871.368222006</v>
      </c>
      <c r="L74" s="46">
        <f t="shared" si="29"/>
        <v>-69197.516317258182</v>
      </c>
      <c r="M74" s="46">
        <f t="shared" si="29"/>
        <v>-71625.449560227164</v>
      </c>
      <c r="N74" s="46">
        <f t="shared" si="29"/>
        <v>-74161.421575830274</v>
      </c>
      <c r="O74" s="46">
        <f t="shared" si="29"/>
        <v>-76812.193604781147</v>
      </c>
    </row>
    <row r="75" spans="1:16">
      <c r="A75" s="12">
        <f>E32</f>
        <v>36133</v>
      </c>
      <c r="C75">
        <v>10</v>
      </c>
      <c r="D75" s="6" t="s">
        <v>15</v>
      </c>
      <c r="F75" s="46">
        <f t="shared" ref="F75:O75" si="30">(-$A$75/$C$75)</f>
        <v>-3613.3</v>
      </c>
      <c r="G75" s="46">
        <f t="shared" si="30"/>
        <v>-3613.3</v>
      </c>
      <c r="H75" s="46">
        <f t="shared" si="30"/>
        <v>-3613.3</v>
      </c>
      <c r="I75" s="46">
        <f t="shared" si="30"/>
        <v>-3613.3</v>
      </c>
      <c r="J75" s="46">
        <f t="shared" si="30"/>
        <v>-3613.3</v>
      </c>
      <c r="K75" s="46">
        <f t="shared" si="30"/>
        <v>-3613.3</v>
      </c>
      <c r="L75" s="46">
        <f t="shared" si="30"/>
        <v>-3613.3</v>
      </c>
      <c r="M75" s="46">
        <f t="shared" si="30"/>
        <v>-3613.3</v>
      </c>
      <c r="N75" s="46">
        <f t="shared" si="30"/>
        <v>-3613.3</v>
      </c>
      <c r="O75" s="46">
        <f t="shared" si="30"/>
        <v>-3613.3</v>
      </c>
    </row>
    <row r="76" spans="1:16">
      <c r="D76" s="6" t="s">
        <v>17</v>
      </c>
      <c r="F76" s="47">
        <f>F105</f>
        <v>-4011.4285714285716</v>
      </c>
      <c r="G76" s="47">
        <f t="shared" ref="G76:L76" si="31">G105</f>
        <v>-4011.4285714285716</v>
      </c>
      <c r="H76" s="47">
        <f t="shared" si="31"/>
        <v>-4011.4285714285716</v>
      </c>
      <c r="I76" s="47">
        <f t="shared" si="31"/>
        <v>-4011.4285714285716</v>
      </c>
      <c r="J76" s="47">
        <f t="shared" si="31"/>
        <v>-4011.4285714285716</v>
      </c>
      <c r="K76" s="47">
        <f t="shared" si="31"/>
        <v>-4011.4285714285716</v>
      </c>
      <c r="L76" s="47">
        <f t="shared" si="31"/>
        <v>-4011.4285714285716</v>
      </c>
      <c r="M76" s="48"/>
      <c r="N76" s="48"/>
      <c r="O76" s="48"/>
    </row>
    <row r="77" spans="1:16">
      <c r="D77" s="6" t="s">
        <v>105</v>
      </c>
      <c r="F77" s="84">
        <f t="shared" ref="F77:O77" si="32">F13</f>
        <v>138127.31999999998</v>
      </c>
      <c r="G77" s="84">
        <f t="shared" si="32"/>
        <v>142271.13959999999</v>
      </c>
      <c r="H77" s="84">
        <f t="shared" si="32"/>
        <v>146539.27378800002</v>
      </c>
      <c r="I77" s="84">
        <f t="shared" si="32"/>
        <v>150935.45200164002</v>
      </c>
      <c r="J77" s="84">
        <f t="shared" si="32"/>
        <v>155463.51556168922</v>
      </c>
      <c r="K77" s="84">
        <f t="shared" si="32"/>
        <v>160127.42102853992</v>
      </c>
      <c r="L77" s="84">
        <f t="shared" si="32"/>
        <v>164931.2436593961</v>
      </c>
      <c r="M77" s="85">
        <f t="shared" si="32"/>
        <v>169879.18096917798</v>
      </c>
      <c r="N77" s="85">
        <f t="shared" si="32"/>
        <v>174975.55639825333</v>
      </c>
      <c r="O77" s="85">
        <f t="shared" si="32"/>
        <v>180224.82309020095</v>
      </c>
    </row>
    <row r="78" spans="1:16">
      <c r="D78" s="8" t="s">
        <v>103</v>
      </c>
      <c r="F78" s="86">
        <f>SUM(F74:F77)</f>
        <v>76044.031428571412</v>
      </c>
      <c r="G78" s="86">
        <f>SUM(G74:G77)</f>
        <v>76171.395028571424</v>
      </c>
      <c r="H78" s="86">
        <f t="shared" ref="H78:O78" si="33">SUM(H74:H77)</f>
        <v>78466.709616571447</v>
      </c>
      <c r="I78" s="86">
        <f t="shared" si="33"/>
        <v>80809.026730211466</v>
      </c>
      <c r="J78" s="86">
        <f t="shared" si="33"/>
        <v>83197.570754060653</v>
      </c>
      <c r="K78" s="86">
        <f t="shared" si="33"/>
        <v>85631.324235105349</v>
      </c>
      <c r="L78" s="86">
        <f t="shared" si="33"/>
        <v>88108.998770709353</v>
      </c>
      <c r="M78" s="86">
        <f t="shared" si="33"/>
        <v>94640.431408950812</v>
      </c>
      <c r="N78" s="86">
        <f t="shared" si="33"/>
        <v>97200.834822423058</v>
      </c>
      <c r="O78" s="86">
        <f t="shared" si="33"/>
        <v>99799.329485419803</v>
      </c>
    </row>
    <row r="79" spans="1:16">
      <c r="D79" s="8" t="s">
        <v>102</v>
      </c>
      <c r="F79" s="44">
        <f t="shared" ref="F79:O79" si="34">SUM(F73:F76)</f>
        <v>92194.711428571434</v>
      </c>
      <c r="G79" s="37">
        <f t="shared" si="34"/>
        <v>92806.595428571425</v>
      </c>
      <c r="H79" s="37">
        <f t="shared" si="34"/>
        <v>95600.966028571449</v>
      </c>
      <c r="I79" s="37">
        <f t="shared" si="34"/>
        <v>98457.310834571443</v>
      </c>
      <c r="J79" s="37">
        <f t="shared" si="34"/>
        <v>101375.30338155141</v>
      </c>
      <c r="K79" s="37">
        <f t="shared" si="34"/>
        <v>104354.38884142083</v>
      </c>
      <c r="L79" s="37">
        <f t="shared" si="34"/>
        <v>107393.75531521431</v>
      </c>
      <c r="M79" s="37">
        <f t="shared" si="34"/>
        <v>114503.73064979092</v>
      </c>
      <c r="N79" s="37">
        <f t="shared" si="34"/>
        <v>117660.03304048837</v>
      </c>
      <c r="O79" s="37">
        <f t="shared" si="34"/>
        <v>120872.30365002707</v>
      </c>
    </row>
    <row r="80" spans="1:16">
      <c r="D80" s="8"/>
      <c r="F80" s="87"/>
      <c r="G80" s="88"/>
      <c r="H80" s="88"/>
      <c r="I80" s="88"/>
      <c r="J80" s="88"/>
      <c r="K80" s="88"/>
      <c r="L80" s="88"/>
      <c r="M80" s="88"/>
      <c r="N80" s="88"/>
      <c r="O80" s="88"/>
    </row>
    <row r="81" spans="1:15">
      <c r="D81" s="8"/>
      <c r="F81" s="87"/>
      <c r="G81" s="88"/>
      <c r="H81" s="88"/>
      <c r="I81" s="88"/>
      <c r="J81" s="88"/>
      <c r="K81" s="88"/>
      <c r="L81" s="88"/>
      <c r="M81" s="88"/>
      <c r="N81" s="88"/>
      <c r="O81" s="88"/>
    </row>
    <row r="82" spans="1:15">
      <c r="C82" s="10" t="s">
        <v>113</v>
      </c>
      <c r="D82" s="6" t="s">
        <v>110</v>
      </c>
      <c r="F82" s="87">
        <f>IF(F78&lt;0,0,F78*$C$85)</f>
        <v>19011.007857142853</v>
      </c>
      <c r="G82" s="88">
        <f>IF(G78&lt;0,0,G78*$C$85)</f>
        <v>19042.848757142856</v>
      </c>
      <c r="H82" s="88">
        <f t="shared" ref="H82:O82" si="35">IF(H78&lt;0,0,H78*$C$85)</f>
        <v>19616.677404142862</v>
      </c>
      <c r="I82" s="88">
        <f t="shared" si="35"/>
        <v>20202.256682552867</v>
      </c>
      <c r="J82" s="88">
        <f t="shared" si="35"/>
        <v>20799.392688515163</v>
      </c>
      <c r="K82" s="88">
        <f t="shared" si="35"/>
        <v>21407.831058776337</v>
      </c>
      <c r="L82" s="88">
        <f t="shared" si="35"/>
        <v>22027.249692677338</v>
      </c>
      <c r="M82" s="88">
        <f t="shared" si="35"/>
        <v>23660.107852237703</v>
      </c>
      <c r="N82" s="88">
        <f t="shared" si="35"/>
        <v>24300.208705605764</v>
      </c>
      <c r="O82" s="88">
        <f t="shared" si="35"/>
        <v>24949.832371354951</v>
      </c>
    </row>
    <row r="83" spans="1:15">
      <c r="D83" s="8" t="s">
        <v>108</v>
      </c>
      <c r="F83" s="87">
        <f>F78-F82</f>
        <v>57033.023571428559</v>
      </c>
      <c r="G83" s="88">
        <f>G78-G82</f>
        <v>57128.546271428568</v>
      </c>
      <c r="H83" s="88">
        <f t="shared" ref="H83:O83" si="36">H78-H82</f>
        <v>58850.032212428589</v>
      </c>
      <c r="I83" s="88">
        <f t="shared" si="36"/>
        <v>60606.770047658603</v>
      </c>
      <c r="J83" s="88">
        <f t="shared" si="36"/>
        <v>62398.178065545493</v>
      </c>
      <c r="K83" s="88">
        <f t="shared" si="36"/>
        <v>64223.493176329008</v>
      </c>
      <c r="L83" s="88">
        <f t="shared" si="36"/>
        <v>66081.749078032008</v>
      </c>
      <c r="M83" s="88">
        <f t="shared" si="36"/>
        <v>70980.323556713105</v>
      </c>
      <c r="N83" s="88">
        <f t="shared" si="36"/>
        <v>72900.626116817293</v>
      </c>
      <c r="O83" s="88">
        <f t="shared" si="36"/>
        <v>74849.497114064856</v>
      </c>
    </row>
    <row r="84" spans="1:15">
      <c r="C84" s="6" t="s">
        <v>113</v>
      </c>
    </row>
    <row r="85" spans="1:15">
      <c r="C85" s="92">
        <v>0.25</v>
      </c>
      <c r="D85" s="6" t="s">
        <v>111</v>
      </c>
      <c r="F85" s="45">
        <f>IF(F79&lt;0,0,F79*$C$85)</f>
        <v>23048.677857142859</v>
      </c>
      <c r="G85" s="45">
        <f t="shared" ref="G85:O85" si="37">IF(G79&lt;0,0,G79*$C$85)</f>
        <v>23201.648857142856</v>
      </c>
      <c r="H85" s="45">
        <f t="shared" si="37"/>
        <v>23900.241507142862</v>
      </c>
      <c r="I85" s="45">
        <f t="shared" si="37"/>
        <v>24614.327708642861</v>
      </c>
      <c r="J85" s="45">
        <f t="shared" si="37"/>
        <v>25343.825845387852</v>
      </c>
      <c r="K85" s="45">
        <f t="shared" si="37"/>
        <v>26088.597210355209</v>
      </c>
      <c r="L85" s="45">
        <f t="shared" si="37"/>
        <v>26848.438828803577</v>
      </c>
      <c r="M85" s="45">
        <f t="shared" si="37"/>
        <v>28625.932662447729</v>
      </c>
      <c r="N85" s="45">
        <f t="shared" si="37"/>
        <v>29415.008260122093</v>
      </c>
      <c r="O85" s="45">
        <f t="shared" si="37"/>
        <v>30218.075912506767</v>
      </c>
    </row>
    <row r="86" spans="1:15">
      <c r="D86" s="21" t="s">
        <v>106</v>
      </c>
      <c r="E86" s="22"/>
      <c r="F86" s="49">
        <f t="shared" ref="F86:O86" si="38">F79-F85</f>
        <v>69146.033571428576</v>
      </c>
      <c r="G86" s="49">
        <f t="shared" si="38"/>
        <v>69604.946571428562</v>
      </c>
      <c r="H86" s="49">
        <f t="shared" si="38"/>
        <v>71700.724521428579</v>
      </c>
      <c r="I86" s="49">
        <f t="shared" si="38"/>
        <v>73842.983125928586</v>
      </c>
      <c r="J86" s="49">
        <f t="shared" si="38"/>
        <v>76031.477536163555</v>
      </c>
      <c r="K86" s="49">
        <f t="shared" si="38"/>
        <v>78265.791631065629</v>
      </c>
      <c r="L86" s="49">
        <f t="shared" si="38"/>
        <v>80545.316486410738</v>
      </c>
      <c r="M86" s="49">
        <f t="shared" si="38"/>
        <v>85877.79798734319</v>
      </c>
      <c r="N86" s="49">
        <f t="shared" si="38"/>
        <v>88245.024780366279</v>
      </c>
      <c r="O86" s="49">
        <f t="shared" si="38"/>
        <v>90654.227737520298</v>
      </c>
    </row>
    <row r="87" spans="1:15">
      <c r="D87" s="6" t="s">
        <v>15</v>
      </c>
      <c r="F87" s="37">
        <f>F75</f>
        <v>-3613.3</v>
      </c>
      <c r="G87" s="37">
        <f t="shared" ref="G87:O87" si="39">G75</f>
        <v>-3613.3</v>
      </c>
      <c r="H87" s="37">
        <f t="shared" si="39"/>
        <v>-3613.3</v>
      </c>
      <c r="I87" s="37">
        <f t="shared" si="39"/>
        <v>-3613.3</v>
      </c>
      <c r="J87" s="37">
        <f t="shared" si="39"/>
        <v>-3613.3</v>
      </c>
      <c r="K87" s="37">
        <f t="shared" si="39"/>
        <v>-3613.3</v>
      </c>
      <c r="L87" s="37">
        <f t="shared" si="39"/>
        <v>-3613.3</v>
      </c>
      <c r="M87" s="37">
        <f t="shared" si="39"/>
        <v>-3613.3</v>
      </c>
      <c r="N87" s="37">
        <f t="shared" si="39"/>
        <v>-3613.3</v>
      </c>
      <c r="O87" s="37">
        <f t="shared" si="39"/>
        <v>-3613.3</v>
      </c>
    </row>
    <row r="88" spans="1:15">
      <c r="A88" s="89" t="s">
        <v>40</v>
      </c>
      <c r="B88" s="90"/>
      <c r="D88" s="6"/>
    </row>
    <row r="89" spans="1:15">
      <c r="A89" s="91"/>
      <c r="B89" s="91"/>
      <c r="C89" s="91"/>
      <c r="D89" s="8" t="s">
        <v>109</v>
      </c>
    </row>
    <row r="90" spans="1:15">
      <c r="A90" s="91"/>
      <c r="B90" s="91"/>
      <c r="C90" s="91"/>
      <c r="D90" s="6" t="s">
        <v>39</v>
      </c>
      <c r="F90" s="12">
        <f t="shared" ref="F90:O90" si="40">F83+F87+F106</f>
        <v>45675.853196909913</v>
      </c>
      <c r="G90" s="12">
        <f t="shared" si="40"/>
        <v>45771.375896909929</v>
      </c>
      <c r="H90" s="2">
        <f t="shared" si="40"/>
        <v>47492.86183790995</v>
      </c>
      <c r="I90" s="2">
        <f t="shared" si="40"/>
        <v>49249.599673139965</v>
      </c>
      <c r="J90" s="2">
        <f t="shared" si="40"/>
        <v>51041.007691026854</v>
      </c>
      <c r="K90" s="2">
        <f t="shared" si="40"/>
        <v>52866.322801810369</v>
      </c>
      <c r="L90" s="2">
        <f t="shared" si="40"/>
        <v>54724.578703513369</v>
      </c>
      <c r="M90" s="2">
        <f t="shared" si="40"/>
        <v>67367.023556713102</v>
      </c>
      <c r="N90" s="2">
        <f t="shared" si="40"/>
        <v>69287.32611681729</v>
      </c>
      <c r="O90" s="2">
        <f t="shared" si="40"/>
        <v>71236.197114064853</v>
      </c>
    </row>
    <row r="91" spans="1:15">
      <c r="A91" s="91"/>
      <c r="B91" s="91"/>
      <c r="C91" s="91"/>
      <c r="D91" s="6"/>
      <c r="F91" s="12"/>
      <c r="G91" s="12"/>
      <c r="H91" s="2"/>
      <c r="I91" s="2"/>
      <c r="J91" s="2"/>
      <c r="K91" s="2"/>
      <c r="L91" s="2"/>
      <c r="M91" s="2"/>
      <c r="N91" s="2"/>
      <c r="O91" s="2"/>
    </row>
    <row r="92" spans="1:15">
      <c r="A92" s="91"/>
      <c r="B92" s="91"/>
      <c r="C92" s="91"/>
      <c r="D92" s="21" t="s">
        <v>107</v>
      </c>
      <c r="E92" s="22"/>
      <c r="F92" s="22"/>
      <c r="G92" s="22"/>
      <c r="H92" s="22"/>
      <c r="I92" s="22"/>
      <c r="J92" s="22"/>
      <c r="K92" s="22"/>
      <c r="L92" s="22"/>
      <c r="M92" s="22"/>
      <c r="N92" s="22"/>
      <c r="O92" s="22"/>
    </row>
    <row r="93" spans="1:15">
      <c r="D93" s="6" t="s">
        <v>39</v>
      </c>
      <c r="F93" s="2">
        <f t="shared" ref="F93:O93" si="41">F86+F87+F106</f>
        <v>57788.863196909937</v>
      </c>
      <c r="G93" s="2">
        <f t="shared" si="41"/>
        <v>58247.776196909923</v>
      </c>
      <c r="H93" s="2">
        <f t="shared" si="41"/>
        <v>60343.554146909941</v>
      </c>
      <c r="I93" s="2">
        <f t="shared" si="41"/>
        <v>62485.812751409947</v>
      </c>
      <c r="J93" s="2">
        <f t="shared" si="41"/>
        <v>64674.307161644916</v>
      </c>
      <c r="K93" s="2">
        <f t="shared" si="41"/>
        <v>66908.62125654699</v>
      </c>
      <c r="L93" s="2">
        <f t="shared" si="41"/>
        <v>69188.1461118921</v>
      </c>
      <c r="M93" s="2">
        <f t="shared" si="41"/>
        <v>82264.497987343188</v>
      </c>
      <c r="N93" s="2">
        <f t="shared" si="41"/>
        <v>84631.724780366276</v>
      </c>
      <c r="O93" s="2">
        <f t="shared" si="41"/>
        <v>87040.927737520295</v>
      </c>
    </row>
    <row r="97" spans="1:15">
      <c r="A97" s="23" t="s">
        <v>43</v>
      </c>
      <c r="B97" s="18"/>
      <c r="C97" s="18"/>
      <c r="D97" s="17" t="s">
        <v>2</v>
      </c>
      <c r="E97" s="16">
        <v>0</v>
      </c>
      <c r="F97" s="16">
        <v>1</v>
      </c>
      <c r="G97" s="16">
        <f>F97+1</f>
        <v>2</v>
      </c>
      <c r="H97" s="16">
        <f t="shared" ref="H97" si="42">G97+1</f>
        <v>3</v>
      </c>
      <c r="I97" s="16">
        <f t="shared" ref="I97" si="43">H97+1</f>
        <v>4</v>
      </c>
      <c r="J97" s="16">
        <f t="shared" ref="J97" si="44">I97+1</f>
        <v>5</v>
      </c>
      <c r="K97" s="16">
        <f t="shared" ref="K97" si="45">J97+1</f>
        <v>6</v>
      </c>
      <c r="L97" s="16">
        <f t="shared" ref="L97" si="46">K97+1</f>
        <v>7</v>
      </c>
      <c r="M97" s="16">
        <f t="shared" ref="M97" si="47">L97+1</f>
        <v>8</v>
      </c>
      <c r="N97" s="16">
        <f t="shared" ref="N97" si="48">M97+1</f>
        <v>9</v>
      </c>
      <c r="O97" s="16">
        <f t="shared" ref="O97" si="49">N97+1</f>
        <v>10</v>
      </c>
    </row>
    <row r="98" spans="1:15">
      <c r="A98" s="6" t="s">
        <v>44</v>
      </c>
      <c r="D98" s="8" t="s">
        <v>41</v>
      </c>
      <c r="F98" s="27">
        <f>PV(0.01,84,SUM(F104:F105))</f>
        <v>908941.35941416083</v>
      </c>
      <c r="G98" s="27"/>
      <c r="H98" s="27"/>
      <c r="I98" s="27"/>
      <c r="J98" s="27"/>
      <c r="K98" s="27"/>
      <c r="L98" s="27"/>
    </row>
    <row r="99" spans="1:15">
      <c r="A99" s="6" t="s">
        <v>45</v>
      </c>
      <c r="D99" s="8" t="s">
        <v>42</v>
      </c>
      <c r="F99" s="27">
        <f>NPV(0.01,E42,F73,G73,H73,I73,J73,K73,L73,M73,N73,O73)</f>
        <v>1720143.4633221389</v>
      </c>
    </row>
    <row r="100" spans="1:15">
      <c r="A100" s="6" t="s">
        <v>46</v>
      </c>
      <c r="B100" s="31">
        <v>6.5000000000000002E-2</v>
      </c>
      <c r="D100" s="6" t="s">
        <v>79</v>
      </c>
    </row>
    <row r="101" spans="1:15">
      <c r="A101" s="28" t="s">
        <v>49</v>
      </c>
      <c r="B101" s="52">
        <v>7</v>
      </c>
    </row>
    <row r="102" spans="1:15">
      <c r="A102" s="6" t="s">
        <v>48</v>
      </c>
      <c r="B102" s="51">
        <v>7</v>
      </c>
      <c r="C102" s="18"/>
      <c r="D102" s="17" t="s">
        <v>2</v>
      </c>
      <c r="E102" s="16">
        <v>0</v>
      </c>
      <c r="F102" s="16">
        <v>1</v>
      </c>
      <c r="G102" s="16">
        <f>F102+1</f>
        <v>2</v>
      </c>
      <c r="H102" s="16">
        <f t="shared" ref="H102" si="50">G102+1</f>
        <v>3</v>
      </c>
      <c r="I102" s="16">
        <f t="shared" ref="I102" si="51">H102+1</f>
        <v>4</v>
      </c>
      <c r="J102" s="16">
        <f t="shared" ref="J102" si="52">I102+1</f>
        <v>5</v>
      </c>
      <c r="K102" s="16">
        <f t="shared" ref="K102" si="53">J102+1</f>
        <v>6</v>
      </c>
      <c r="L102" s="16">
        <f t="shared" ref="L102" si="54">K102+1</f>
        <v>7</v>
      </c>
      <c r="M102" s="16">
        <f t="shared" ref="M102" si="55">L102+1</f>
        <v>8</v>
      </c>
      <c r="N102" s="16">
        <f t="shared" ref="N102" si="56">M102+1</f>
        <v>9</v>
      </c>
      <c r="O102" s="16">
        <f t="shared" ref="O102" si="57">N102+1</f>
        <v>10</v>
      </c>
    </row>
    <row r="103" spans="1:15">
      <c r="A103" s="24" t="s">
        <v>50</v>
      </c>
      <c r="E103" s="50">
        <v>66000</v>
      </c>
    </row>
    <row r="104" spans="1:15">
      <c r="F104" s="27">
        <f t="shared" ref="F104:L104" si="58">PMT(0.065,7,66000)</f>
        <v>-12033.870374518639</v>
      </c>
      <c r="G104" s="27">
        <f t="shared" si="58"/>
        <v>-12033.870374518639</v>
      </c>
      <c r="H104" s="27">
        <f t="shared" si="58"/>
        <v>-12033.870374518639</v>
      </c>
      <c r="I104" s="27">
        <f t="shared" si="58"/>
        <v>-12033.870374518639</v>
      </c>
      <c r="J104" s="27">
        <f t="shared" si="58"/>
        <v>-12033.870374518639</v>
      </c>
      <c r="K104" s="27">
        <f t="shared" si="58"/>
        <v>-12033.870374518639</v>
      </c>
      <c r="L104" s="27">
        <f t="shared" si="58"/>
        <v>-12033.870374518639</v>
      </c>
    </row>
    <row r="105" spans="1:15">
      <c r="F105" s="26">
        <f>ISPMT(0.065,1,7,72000)</f>
        <v>-4011.4285714285716</v>
      </c>
      <c r="G105" s="26">
        <f t="shared" ref="G105:L105" si="59">ISPMT(0.065,1,7,72000)</f>
        <v>-4011.4285714285716</v>
      </c>
      <c r="H105" s="26">
        <f t="shared" si="59"/>
        <v>-4011.4285714285716</v>
      </c>
      <c r="I105" s="26">
        <f t="shared" si="59"/>
        <v>-4011.4285714285716</v>
      </c>
      <c r="J105" s="26">
        <f t="shared" si="59"/>
        <v>-4011.4285714285716</v>
      </c>
      <c r="K105" s="26">
        <f t="shared" si="59"/>
        <v>-4011.4285714285716</v>
      </c>
      <c r="L105" s="26">
        <f t="shared" si="59"/>
        <v>-4011.4285714285716</v>
      </c>
    </row>
    <row r="106" spans="1:15">
      <c r="C106" s="22"/>
      <c r="D106" s="22"/>
      <c r="E106" s="22"/>
      <c r="F106" s="29">
        <f t="shared" ref="F106:L106" si="60">PPMT(0.065,1,7,66000)</f>
        <v>-7743.8703745186394</v>
      </c>
      <c r="G106" s="29">
        <f t="shared" si="60"/>
        <v>-7743.8703745186394</v>
      </c>
      <c r="H106" s="29">
        <f t="shared" si="60"/>
        <v>-7743.8703745186394</v>
      </c>
      <c r="I106" s="29">
        <f t="shared" si="60"/>
        <v>-7743.8703745186394</v>
      </c>
      <c r="J106" s="29">
        <f t="shared" si="60"/>
        <v>-7743.8703745186394</v>
      </c>
      <c r="K106" s="29">
        <f t="shared" si="60"/>
        <v>-7743.8703745186394</v>
      </c>
      <c r="L106" s="29">
        <f t="shared" si="60"/>
        <v>-7743.8703745186394</v>
      </c>
      <c r="M106" s="22"/>
      <c r="N106" s="22"/>
      <c r="O106" s="22"/>
    </row>
    <row r="107" spans="1:15">
      <c r="C107" t="s">
        <v>47</v>
      </c>
    </row>
  </sheetData>
  <pageMargins left="0.25" right="0.25" top="0.75" bottom="0.75" header="0.3" footer="0.3"/>
  <pageSetup scale="6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Greenhouse 1</vt:lpstr>
      <vt:lpstr>CycleTime</vt:lpstr>
      <vt:lpstr>HolesperRaft</vt:lpstr>
      <vt:lpstr>'Greenhouse 1'!Print_Area</vt:lpstr>
      <vt:lpstr>ProdPerHole</vt:lpstr>
      <vt:lpstr>RaftAreaSf</vt:lpstr>
      <vt:lpstr>WeeksofProd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dc:creator>
  <cp:lastModifiedBy>Tims Account</cp:lastModifiedBy>
  <cp:lastPrinted>2013-01-26T01:31:33Z</cp:lastPrinted>
  <dcterms:created xsi:type="dcterms:W3CDTF">2013-01-24T18:06:52Z</dcterms:created>
  <dcterms:modified xsi:type="dcterms:W3CDTF">2014-02-10T20:50:10Z</dcterms:modified>
</cp:coreProperties>
</file>